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1 Format &amp; Navigate" sheetId="2" state="visible" r:id="rId2"/>
    <sheet xmlns:r="http://schemas.openxmlformats.org/officeDocument/2006/relationships" name="T2 Referencing" sheetId="3" state="visible" r:id="rId3"/>
    <sheet xmlns:r="http://schemas.openxmlformats.org/officeDocument/2006/relationships" name="T3 Functions &amp; Logic" sheetId="4" state="visible" r:id="rId4"/>
    <sheet xmlns:r="http://schemas.openxmlformats.org/officeDocument/2006/relationships" name="T4 XLOOKUP" sheetId="5" state="visible" r:id="rId5"/>
    <sheet xmlns:r="http://schemas.openxmlformats.org/officeDocument/2006/relationships" name="T5 Descriptive Stats" sheetId="6" state="visible" r:id="rId6"/>
    <sheet xmlns:r="http://schemas.openxmlformats.org/officeDocument/2006/relationships" name="T6 Calibration" sheetId="7" state="visible" r:id="rId7"/>
    <sheet xmlns:r="http://schemas.openxmlformats.org/officeDocument/2006/relationships" name="T7 Charts" sheetId="8" state="visible" r:id="rId8"/>
    <sheet xmlns:r="http://schemas.openxmlformats.org/officeDocument/2006/relationships" name="T8 Compare Batches" sheetId="9" state="visible" r:id="rId9"/>
    <sheet xmlns:r="http://schemas.openxmlformats.org/officeDocument/2006/relationships" name="Worked examples" sheetId="10" state="visible" r:id="rId10"/>
    <sheet xmlns:r="http://schemas.openxmlformats.org/officeDocument/2006/relationships" name="Check answers" sheetId="11" state="visible" r:id="rId11"/>
  </sheets>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00"/>
    <numFmt numFmtId="167" formatCode="0.0000"/>
    <numFmt numFmtId="168" formatCode="0.000000"/>
    <numFmt numFmtId="169" formatCode="0.00000000"/>
  </numFmts>
  <fonts count="11">
    <font>
      <name val="Calibri"/>
      <family val="2"/>
      <color theme="1"/>
      <sz val="11"/>
      <scheme val="minor"/>
    </font>
    <font>
      <name val="Arial"/>
      <b val="1"/>
      <color rgb="0053565A"/>
      <sz val="16"/>
    </font>
    <font>
      <name val="Arial"/>
      <color rgb="0053565A"/>
      <sz val="10"/>
    </font>
    <font>
      <name val="Arial"/>
      <b val="1"/>
      <color rgb="0053565A"/>
      <sz val="10"/>
    </font>
    <font>
      <name val="Arial"/>
      <b val="1"/>
      <color rgb="00ED1C24"/>
      <sz val="10"/>
    </font>
    <font>
      <name val="Arial"/>
      <b val="1"/>
      <color rgb="00ED1C24"/>
      <sz val="12"/>
    </font>
    <font>
      <name val="Arial"/>
      <b val="1"/>
      <color rgb="00FFFFFF"/>
      <sz val="10"/>
    </font>
    <font>
      <name val="Arial"/>
      <color rgb="0053565A"/>
      <sz val="9"/>
    </font>
    <font>
      <name val="Arial"/>
      <i val="1"/>
      <color rgb="00ED1C24"/>
      <sz val="9"/>
    </font>
    <font>
      <name val="Arial"/>
      <i val="1"/>
      <color rgb="0053565A"/>
      <sz val="9"/>
    </font>
    <font>
      <name val="Consolas"/>
      <color rgb="0053565A"/>
      <sz val="10"/>
    </font>
  </fonts>
  <fills count="5">
    <fill>
      <patternFill/>
    </fill>
    <fill>
      <patternFill patternType="gray125"/>
    </fill>
    <fill>
      <patternFill patternType="solid">
        <fgColor rgb="0053565A"/>
      </patternFill>
    </fill>
    <fill>
      <patternFill patternType="solid">
        <fgColor rgb="00F4F4F5"/>
      </patternFill>
    </fill>
    <fill>
      <patternFill patternType="solid">
        <fgColor rgb="00FFF4CC"/>
      </patternFill>
    </fill>
  </fills>
  <borders count="21">
    <border>
      <left/>
      <right/>
      <top/>
      <bottom/>
      <diagonal/>
    </border>
    <border>
      <left style="thin">
        <color rgb="00B1B3B3"/>
      </left>
      <right style="thin">
        <color rgb="00B1B3B3"/>
      </right>
      <top style="thin">
        <color rgb="00B1B3B3"/>
      </top>
      <bottom style="thin">
        <color rgb="00B1B3B3"/>
      </bottom>
    </border>
    <border>
      <left style="thin">
        <color rgb="00B1B3B3"/>
      </left>
      <right/>
      <top/>
      <bottom/>
      <diagonal/>
    </border>
    <border>
      <left style="thin">
        <color rgb="00B1B3B3"/>
      </left>
      <right style="thin">
        <color rgb="00B1B3B3"/>
      </right>
      <top/>
      <bottom/>
      <diagonal/>
    </border>
    <border>
      <left style="thin">
        <color rgb="00B1B3B3"/>
      </left>
      <right style="thin">
        <color rgb="00B1B3B3"/>
      </right>
      <top/>
      <bottom style="thin">
        <color rgb="00B1B3B3"/>
      </bottom>
      <diagonal/>
    </border>
    <border>
      <left style="medium">
        <color rgb="00E0A800"/>
      </left>
      <right style="medium">
        <color rgb="00E0A800"/>
      </right>
      <top style="medium">
        <color rgb="00E0A800"/>
      </top>
      <bottom style="medium">
        <color rgb="00E0A800"/>
      </bottom>
    </border>
    <border>
      <left/>
      <right/>
      <top style="thin">
        <color rgb="00B1B3B3"/>
      </top>
      <bottom/>
      <diagonal/>
    </border>
    <border>
      <left/>
      <right style="thin">
        <color rgb="00B1B3B3"/>
      </right>
      <top style="thin">
        <color rgb="00B1B3B3"/>
      </top>
      <bottom/>
      <diagonal/>
    </border>
    <border>
      <left/>
      <right style="thin">
        <color rgb="00B1B3B3"/>
      </right>
      <top/>
      <bottom/>
      <diagonal/>
    </border>
    <border>
      <left style="thin">
        <color rgb="00B1B3B3"/>
      </left>
      <right/>
      <top/>
      <bottom style="thin">
        <color rgb="00B1B3B3"/>
      </bottom>
      <diagonal/>
    </border>
    <border>
      <left/>
      <right/>
      <top/>
      <bottom style="thin">
        <color rgb="00B1B3B3"/>
      </bottom>
      <diagonal/>
    </border>
    <border>
      <left/>
      <right style="thin">
        <color rgb="00B1B3B3"/>
      </right>
      <top/>
      <bottom style="thin">
        <color rgb="00B1B3B3"/>
      </bottom>
      <diagonal/>
    </border>
    <border>
      <left/>
      <right/>
      <top style="thin">
        <color rgb="00B1B3B3"/>
      </top>
      <bottom style="thin">
        <color rgb="00B1B3B3"/>
      </bottom>
      <diagonal/>
    </border>
    <border>
      <left/>
      <right style="thin">
        <color rgb="00B1B3B3"/>
      </right>
      <top style="thin">
        <color rgb="00B1B3B3"/>
      </top>
      <bottom style="thin">
        <color rgb="00B1B3B3"/>
      </bottom>
      <diagonal/>
    </border>
    <border>
      <left/>
      <right/>
      <top style="medium">
        <color rgb="00E0A800"/>
      </top>
      <bottom/>
      <diagonal/>
    </border>
    <border>
      <left style="medium">
        <color rgb="00E0A800"/>
      </left>
      <right/>
      <top/>
      <bottom/>
      <diagonal/>
    </border>
    <border>
      <left/>
      <right style="medium">
        <color rgb="00E0A800"/>
      </right>
      <top style="medium">
        <color rgb="00E0A800"/>
      </top>
      <bottom/>
      <diagonal/>
    </border>
    <border>
      <left/>
      <right style="medium">
        <color rgb="00E0A800"/>
      </right>
      <top/>
      <bottom/>
      <diagonal/>
    </border>
    <border>
      <left style="medium">
        <color rgb="00E0A800"/>
      </left>
      <right/>
      <top/>
      <bottom style="medium">
        <color rgb="00E0A800"/>
      </bottom>
      <diagonal/>
    </border>
    <border>
      <left/>
      <right/>
      <top/>
      <bottom style="medium">
        <color rgb="00E0A800"/>
      </bottom>
      <diagonal/>
    </border>
    <border>
      <left/>
      <right style="medium">
        <color rgb="00E0A800"/>
      </right>
      <top/>
      <bottom style="medium">
        <color rgb="00E0A800"/>
      </bottom>
      <diagonal/>
    </border>
  </borders>
  <cellStyleXfs count="1">
    <xf numFmtId="0" fontId="0" fillId="0" borderId="0"/>
  </cellStyleXfs>
  <cellXfs count="5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7" fillId="0" borderId="0" applyAlignment="1" pivotButton="0" quotePrefix="0" xfId="0">
      <alignment horizontal="center" vertical="center"/>
    </xf>
    <xf numFmtId="0" fontId="2" fillId="0" borderId="0" applyAlignment="1" pivotButton="0" quotePrefix="0" xfId="0">
      <alignment vertical="top" wrapText="1"/>
    </xf>
    <xf numFmtId="0" fontId="2" fillId="0" borderId="1" applyAlignment="1" pivotButton="0" quotePrefix="0" xfId="0">
      <alignment horizontal="center" vertical="center"/>
    </xf>
    <xf numFmtId="0" fontId="3" fillId="0" borderId="1" pivotButton="0" quotePrefix="0" xfId="0"/>
    <xf numFmtId="0" fontId="2" fillId="0" borderId="1" applyAlignment="1" pivotButton="0" quotePrefix="0" xfId="0">
      <alignment vertical="top" wrapText="1"/>
    </xf>
    <xf numFmtId="0" fontId="8" fillId="0" borderId="0" pivotButton="0" quotePrefix="0" xfId="0"/>
    <xf numFmtId="0" fontId="9" fillId="3" borderId="1" applyAlignment="1" pivotButton="0" quotePrefix="0" xfId="0">
      <alignment horizontal="left" vertical="top" wrapText="1"/>
    </xf>
    <xf numFmtId="0" fontId="0" fillId="0" borderId="3" pivotButton="0" quotePrefix="0" xfId="0"/>
    <xf numFmtId="164" fontId="2" fillId="0" borderId="1" applyAlignment="1" pivotButton="0" quotePrefix="0" xfId="0">
      <alignment horizontal="center" vertical="center"/>
    </xf>
    <xf numFmtId="0" fontId="0" fillId="0" borderId="4" pivotButton="0" quotePrefix="0" xfId="0"/>
    <xf numFmtId="1" fontId="2" fillId="4" borderId="5" pivotButton="0" quotePrefix="0" xfId="0"/>
    <xf numFmtId="2" fontId="2" fillId="4" borderId="5" pivotButton="0" quotePrefix="0" xfId="0"/>
    <xf numFmtId="0" fontId="2" fillId="4" borderId="5" pivotButton="0" quotePrefix="0" xfId="0"/>
    <xf numFmtId="0" fontId="0" fillId="0" borderId="6" pivotButton="0" quotePrefix="0" xfId="0"/>
    <xf numFmtId="0" fontId="0" fillId="0" borderId="7" pivotButton="0" quotePrefix="0" xfId="0"/>
    <xf numFmtId="0" fontId="0" fillId="0" borderId="2"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xf numFmtId="164" fontId="3" fillId="3" borderId="1" applyAlignment="1" pivotButton="0" quotePrefix="0" xfId="0">
      <alignment horizontal="center" vertical="center"/>
    </xf>
    <xf numFmtId="0" fontId="9" fillId="0" borderId="0" pivotButton="0" quotePrefix="0" xfId="0"/>
    <xf numFmtId="165" fontId="2" fillId="4" borderId="5" pivotButton="0" quotePrefix="0" xfId="0"/>
    <xf numFmtId="0" fontId="6" fillId="2" borderId="1" applyAlignment="1" pivotButton="0" quotePrefix="0" xfId="0">
      <alignment horizontal="center" vertical="center"/>
    </xf>
    <xf numFmtId="0" fontId="9" fillId="0" borderId="0" applyAlignment="1" pivotButton="0" quotePrefix="0" xfId="0">
      <alignment horizontal="right"/>
    </xf>
    <xf numFmtId="1" fontId="3" fillId="3" borderId="1" applyAlignment="1" pivotButton="0" quotePrefix="0" xfId="0">
      <alignment horizontal="center" vertical="center"/>
    </xf>
    <xf numFmtId="164" fontId="2" fillId="4" borderId="5" pivotButton="0" quotePrefix="0" xfId="0"/>
    <xf numFmtId="0" fontId="0" fillId="0" borderId="12" pivotButton="0" quotePrefix="0" xfId="0"/>
    <xf numFmtId="0" fontId="0" fillId="0" borderId="13" pivotButton="0" quotePrefix="0" xfId="0"/>
    <xf numFmtId="0" fontId="3" fillId="0" borderId="1" applyAlignment="1" pivotButton="0" quotePrefix="0" xfId="0">
      <alignment vertical="top" wrapText="1"/>
    </xf>
    <xf numFmtId="166" fontId="2" fillId="4" borderId="5" pivotButton="0" quotePrefix="0" xfId="0"/>
    <xf numFmtId="1" fontId="2" fillId="0" borderId="1" applyAlignment="1" pivotButton="0" quotePrefix="0" xfId="0">
      <alignment horizontal="center" vertical="center"/>
    </xf>
    <xf numFmtId="0" fontId="2" fillId="0" borderId="1" pivotButton="0" quotePrefix="0" xfId="0"/>
    <xf numFmtId="166" fontId="2" fillId="0" borderId="1" applyAlignment="1" pivotButton="0" quotePrefix="0" xfId="0">
      <alignment horizontal="center" vertical="center"/>
    </xf>
    <xf numFmtId="0" fontId="9" fillId="0" borderId="1" applyAlignment="1" pivotButton="0" quotePrefix="0" xfId="0">
      <alignment vertical="top" wrapText="1"/>
    </xf>
    <xf numFmtId="0" fontId="2" fillId="4" borderId="5" applyAlignment="1" pivotButton="0" quotePrefix="0" xfId="0">
      <alignment horizontal="left" vertical="top" wrapText="1"/>
    </xf>
    <xf numFmtId="0" fontId="0" fillId="0" borderId="14" pivotButton="0" quotePrefix="0" xfId="0"/>
    <xf numFmtId="0" fontId="0" fillId="0" borderId="16" pivotButton="0" quotePrefix="0" xfId="0"/>
    <xf numFmtId="0" fontId="0" fillId="0" borderId="18" pivotButton="0" quotePrefix="0" xfId="0"/>
    <xf numFmtId="0" fontId="0" fillId="0" borderId="19" pivotButton="0" quotePrefix="0" xfId="0"/>
    <xf numFmtId="0" fontId="0" fillId="0" borderId="20" pivotButton="0" quotePrefix="0" xfId="0"/>
    <xf numFmtId="167" fontId="2" fillId="4" borderId="5" pivotButton="0" quotePrefix="0" xfId="0"/>
    <xf numFmtId="0" fontId="7" fillId="0" borderId="1" applyAlignment="1" pivotButton="0" quotePrefix="0" xfId="0">
      <alignment vertical="top" wrapText="1"/>
    </xf>
    <xf numFmtId="168" fontId="2" fillId="4" borderId="5" pivotButton="0" quotePrefix="0" xfId="0"/>
    <xf numFmtId="0" fontId="2" fillId="3" borderId="1" applyAlignment="1" pivotButton="0" quotePrefix="0" xfId="0">
      <alignment vertical="top" wrapText="1"/>
    </xf>
    <xf numFmtId="164" fontId="2" fillId="3" borderId="1" applyAlignment="1" pivotButton="0" quotePrefix="0" xfId="0">
      <alignment horizontal="center" vertical="center"/>
    </xf>
    <xf numFmtId="0" fontId="3" fillId="3" borderId="1" applyAlignment="1" pivotButton="0" quotePrefix="0" xfId="0">
      <alignment horizontal="center" vertical="center"/>
    </xf>
    <xf numFmtId="169" fontId="2" fillId="4" borderId="5" pivotButton="0" quotePrefix="0" xfId="0"/>
    <xf numFmtId="0" fontId="10" fillId="3" borderId="1" applyAlignment="1" pivotButton="0" quotePrefix="1" xfId="0">
      <alignment vertical="top" wrapText="1"/>
    </xf>
    <xf numFmtId="0" fontId="10" fillId="0" borderId="1" applyAlignment="1" pivotButton="0" quotePrefix="1" xfId="0">
      <alignment horizontal="center" vertical="center"/>
    </xf>
    <xf numFmtId="0" fontId="3" fillId="3" borderId="1" applyAlignment="1" pivotButton="0" quotePrefix="0" xfId="0">
      <alignment vertical="top" wrapText="1"/>
    </xf>
    <xf numFmtId="0" fontId="3" fillId="0"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Calibration of paracetamol by HPLC, 2–100 µg/mL</a:t>
            </a:r>
          </a:p>
        </rich>
      </tx>
    </title>
    <plotArea>
      <scatterChart>
        <ser>
          <idx val="0"/>
          <order val="0"/>
          <tx>
            <strRef>
              <f>'T6 Calibration'!B6</f>
            </strRef>
          </tx>
          <spPr>
            <a:ln xmlns:a="http://schemas.openxmlformats.org/drawingml/2006/main">
              <a:noFill/>
              <a:prstDash val="solid"/>
            </a:ln>
          </spPr>
          <marker>
            <symbol val="circle"/>
            <spPr>
              <a:ln xmlns:a="http://schemas.openxmlformats.org/drawingml/2006/main">
                <a:prstDash val="solid"/>
              </a:ln>
            </spPr>
          </marker>
          <xVal>
            <numRef>
              <f>'T6 Calibration'!$A$7:$A$12</f>
            </numRef>
          </xVal>
          <yVal>
            <numRef>
              <f>'T6 Calibration'!$B$7:$B$12</f>
            </numRef>
          </yVal>
        </ser>
        <ser>
          <idx val="1"/>
          <order val="1"/>
          <tx>
            <strRef>
              <f>'T6 Calibration'!C6</f>
            </strRef>
          </tx>
          <spPr>
            <a:ln xmlns:a="http://schemas.openxmlformats.org/drawingml/2006/main">
              <a:prstDash val="solid"/>
            </a:ln>
          </spPr>
          <marker>
            <symbol val="none"/>
            <spPr>
              <a:ln xmlns:a="http://schemas.openxmlformats.org/drawingml/2006/main">
                <a:prstDash val="solid"/>
              </a:ln>
            </spPr>
          </marker>
          <xVal>
            <numRef>
              <f>'T6 Calibration'!$A$7:$A$12</f>
            </numRef>
          </xVal>
          <yVal>
            <numRef>
              <f>'T6 Calibration'!$C$7:$C$12</f>
            </numRef>
          </yVal>
        </ser>
        <axId val="10"/>
        <axId val="20"/>
      </scatterChart>
      <valAx>
        <axId val="10"/>
        <scaling>
          <orientation val="minMax"/>
        </scaling>
        <axPos val="l"/>
        <majorGridlines/>
        <title>
          <tx>
            <rich>
              <a:bodyPr xmlns:a="http://schemas.openxmlformats.org/drawingml/2006/main"/>
              <a:p xmlns:a="http://schemas.openxmlformats.org/drawingml/2006/main">
                <a:pPr>
                  <a:defRPr/>
                </a:pPr>
                <a:r>
                  <a:t>Concentration (µg/mL)</a:t>
                </a:r>
              </a:p>
            </rich>
          </tx>
        </title>
        <majorTickMark val="none"/>
        <minorTickMark val="none"/>
        <crossAx val="20"/>
      </valAx>
      <valAx>
        <axId val="20"/>
        <scaling>
          <orientation val="minMax"/>
        </scaling>
        <axPos val="l"/>
        <majorGridlines/>
        <title>
          <tx>
            <rich>
              <a:bodyPr xmlns:a="http://schemas.openxmlformats.org/drawingml/2006/main"/>
              <a:p xmlns:a="http://schemas.openxmlformats.org/drawingml/2006/main">
                <a:pPr>
                  <a:defRPr/>
                </a:pPr>
                <a:r>
                  <a:t>Peak area (mAU·s)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Dissolution profile, paracetamol 500 mg tablets (mean ± 1 SD, n = 12)</a:t>
            </a:r>
          </a:p>
        </rich>
      </tx>
    </title>
    <plotArea>
      <scatterChart>
        <ser>
          <idx val="0"/>
          <order val="0"/>
          <tx>
            <strRef>
              <f>'T7 Charts'!B6</f>
            </strRef>
          </tx>
          <spPr>
            <a:ln xmlns:a="http://schemas.openxmlformats.org/drawingml/2006/main">
              <a:prstDash val="solid"/>
            </a:ln>
          </spPr>
          <marker>
            <symbol val="circle"/>
            <spPr>
              <a:ln xmlns:a="http://schemas.openxmlformats.org/drawingml/2006/main">
                <a:prstDash val="solid"/>
              </a:ln>
            </spPr>
          </marker>
          <errBars>
            <errDir val="y"/>
            <errBarType val="both"/>
            <errValType val="cust"/>
            <minus>
              <numRef>
                <f>'T7 Charts'!$C$7:$C$14</f>
              </numRef>
            </minus>
            <plus>
              <numRef>
                <f>'T7 Charts'!$C$7:$C$14</f>
              </numRef>
            </plus>
          </errBars>
          <xVal>
            <numRef>
              <f>'T7 Charts'!$A$7:$A$14</f>
            </numRef>
          </xVal>
          <yVal>
            <numRef>
              <f>'T7 Charts'!$B$7:$B$14</f>
            </numRef>
          </yVal>
        </ser>
        <ser>
          <idx val="1"/>
          <order val="1"/>
          <tx>
            <strRef>
              <f>'T7 Charts'!D6</f>
            </strRef>
          </tx>
          <spPr>
            <a:ln xmlns:a="http://schemas.openxmlformats.org/drawingml/2006/main">
              <a:prstDash val="solid"/>
            </a:ln>
          </spPr>
          <marker>
            <symbol val="circle"/>
            <spPr>
              <a:ln xmlns:a="http://schemas.openxmlformats.org/drawingml/2006/main">
                <a:prstDash val="solid"/>
              </a:ln>
            </spPr>
          </marker>
          <errBars>
            <errDir val="y"/>
            <errBarType val="both"/>
            <errValType val="cust"/>
            <minus>
              <numRef>
                <f>'T7 Charts'!$E$7:$E$14</f>
              </numRef>
            </minus>
            <plus>
              <numRef>
                <f>'T7 Charts'!$E$7:$E$14</f>
              </numRef>
            </plus>
          </errBars>
          <xVal>
            <numRef>
              <f>'T7 Charts'!$A$7:$A$14</f>
            </numRef>
          </xVal>
          <yVal>
            <numRef>
              <f>'T7 Charts'!$D$7:$D$14</f>
            </numRef>
          </yVal>
        </ser>
        <axId val="10"/>
        <axId val="20"/>
      </scatterChart>
      <valAx>
        <axId val="10"/>
        <scaling>
          <orientation val="minMax"/>
        </scaling>
        <axPos val="l"/>
        <majorGridlines/>
        <title>
          <tx>
            <rich>
              <a:bodyPr xmlns:a="http://schemas.openxmlformats.org/drawingml/2006/main"/>
              <a:p xmlns:a="http://schemas.openxmlformats.org/drawingml/2006/main">
                <a:pPr>
                  <a:defRPr/>
                </a:pPr>
                <a:r>
                  <a:t>Time (min)</a:t>
                </a:r>
              </a:p>
            </rich>
          </tx>
        </title>
        <majorTickMark val="none"/>
        <minorTickMark val="none"/>
        <crossAx val="20"/>
      </valAx>
      <valAx>
        <axId val="20"/>
        <scaling>
          <orientation val="minMax"/>
          <max val="100"/>
          <min val="0"/>
        </scaling>
        <axPos val="l"/>
        <majorGridlines/>
        <title>
          <tx>
            <rich>
              <a:bodyPr xmlns:a="http://schemas.openxmlformats.org/drawingml/2006/main"/>
              <a:p xmlns:a="http://schemas.openxmlformats.org/drawingml/2006/main">
                <a:pPr>
                  <a:defRPr/>
                </a:pPr>
                <a:r>
                  <a:t>Cumulative release (% of label claim)</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4</col>
      <colOff>0</colOff>
      <row>30</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24</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Relationships>
</file>

<file path=xl/worksheets/_rels/sheet8.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53565A"/>
    <outlinePr summaryBelow="1" summaryRight="1"/>
    <pageSetUpPr/>
  </sheetPr>
  <dimension ref="A1:G21"/>
  <sheetViews>
    <sheetView showGridLines="0" workbookViewId="0">
      <selection activeCell="A1" sqref="A1"/>
    </sheetView>
  </sheetViews>
  <sheetFormatPr baseColWidth="8" defaultRowHeight="15"/>
  <cols>
    <col width="6" customWidth="1" min="1" max="1"/>
    <col width="22" customWidth="1" min="2" max="2"/>
    <col width="58" customWidth="1" min="3" max="3"/>
    <col width="15" customWidth="1" min="4" max="4"/>
    <col width="16" customWidth="1" min="5" max="5"/>
    <col width="4" customWidth="1" min="6" max="6"/>
    <col width="44" customWidth="1" min="7" max="7"/>
  </cols>
  <sheetData>
    <row r="1">
      <c r="A1" s="1" t="inlineStr">
        <is>
          <t>PMY8110 — Excel workshop workbook</t>
        </is>
      </c>
    </row>
    <row r="2">
      <c r="A2" s="2" t="inlineStr">
        <is>
          <t>Pharmaceutical data sources and digital tools for quantitative analysis</t>
        </is>
      </c>
    </row>
    <row r="3">
      <c r="A3" s="2" t="inlineStr">
        <is>
          <t>MSc Industrial Pharmaceutics · Research Skills and Methods · School of Pharmacy, Queen's University Belfast</t>
        </is>
      </c>
    </row>
    <row r="5">
      <c r="A5" s="3" t="inlineStr">
        <is>
          <t>Workbook type</t>
        </is>
      </c>
      <c r="B5" s="4" t="inlineStr">
        <is>
          <t>WORKED — model answers</t>
        </is>
      </c>
    </row>
    <row r="7">
      <c r="A7" s="5" t="inlineStr">
        <is>
          <t>Your route — about 60 minutes for tasks 1 to 7</t>
        </is>
      </c>
      <c r="G7" s="5" t="inlineStr">
        <is>
          <t>How to use this workbook</t>
        </is>
      </c>
    </row>
    <row r="8" ht="28" customHeight="1">
      <c r="A8" s="6" t="inlineStr">
        <is>
          <t>#</t>
        </is>
      </c>
      <c r="B8" s="6" t="inlineStr">
        <is>
          <t>Sheet</t>
        </is>
      </c>
      <c r="C8" s="6" t="inlineStr">
        <is>
          <t>What you practise</t>
        </is>
      </c>
      <c r="D8" s="6" t="inlineStr">
        <is>
          <t>Time</t>
        </is>
      </c>
      <c r="E8" s="6" t="inlineStr">
        <is>
          <t>Self-study section</t>
        </is>
      </c>
      <c r="F8" s="7" t="n">
        <v>1</v>
      </c>
      <c r="G8" s="8" t="inlineStr">
        <is>
          <t>Type only in the shaded cells marked EDIT.</t>
        </is>
      </c>
    </row>
    <row r="9" ht="28" customHeight="1">
      <c r="A9" s="9" t="n">
        <v>1</v>
      </c>
      <c r="B9" s="10" t="inlineStr">
        <is>
          <t>T1 Format &amp; Navigate</t>
        </is>
      </c>
      <c r="C9" s="11" t="inlineStr">
        <is>
          <t>Navigating a workbook, repairing text-formatted numbers, number formats</t>
        </is>
      </c>
      <c r="D9" s="9" t="inlineStr">
        <is>
          <t>7 min</t>
        </is>
      </c>
      <c r="E9" s="9" t="inlineStr">
        <is>
          <t>Section 1–4</t>
        </is>
      </c>
      <c r="F9" s="7" t="n">
        <v>2</v>
      </c>
      <c r="G9" s="8" t="inlineStr">
        <is>
          <t>Each sheet has a short Read this first panel — it tells you the pharmaceutical context.</t>
        </is>
      </c>
    </row>
    <row r="10" ht="28" customHeight="1">
      <c r="A10" s="9" t="n">
        <v>2</v>
      </c>
      <c r="B10" s="10" t="inlineStr">
        <is>
          <t>T2 Referencing</t>
        </is>
      </c>
      <c r="C10" s="11" t="inlineStr">
        <is>
          <t>Relative, absolute and mixed references</t>
        </is>
      </c>
      <c r="D10" s="9" t="inlineStr">
        <is>
          <t>8 min</t>
        </is>
      </c>
      <c r="E10" s="9" t="inlineStr">
        <is>
          <t>Section 6</t>
        </is>
      </c>
      <c r="F10" s="7" t="n">
        <v>3</v>
      </c>
      <c r="G10" s="8" t="inlineStr">
        <is>
          <t>Check columns update as you work: Not started, Correct or Check formula.</t>
        </is>
      </c>
    </row>
    <row r="11" ht="28" customHeight="1">
      <c r="A11" s="9" t="n">
        <v>3</v>
      </c>
      <c r="B11" s="10" t="inlineStr">
        <is>
          <t>T3 Functions &amp; Logic</t>
        </is>
      </c>
      <c r="C11" s="11" t="inlineStr">
        <is>
          <t>AVERAGE, STDEV.S, COUNTIFS, IF and AND</t>
        </is>
      </c>
      <c r="D11" s="9" t="inlineStr">
        <is>
          <t>8 min</t>
        </is>
      </c>
      <c r="E11" s="9" t="inlineStr">
        <is>
          <t>Section 7</t>
        </is>
      </c>
      <c r="F11" s="7" t="n">
        <v>4</v>
      </c>
      <c r="G11" s="8" t="inlineStr">
        <is>
          <t>Charts and number formats need a visual comparison against the Worked workbook.</t>
        </is>
      </c>
    </row>
    <row r="12" ht="28" customHeight="1">
      <c r="A12" s="9" t="n">
        <v>4</v>
      </c>
      <c r="B12" s="10" t="inlineStr">
        <is>
          <t>T4 XLOOKUP</t>
        </is>
      </c>
      <c r="C12" s="11" t="inlineStr">
        <is>
          <t>Exact and approximate XLOOKUP, if_not_found</t>
        </is>
      </c>
      <c r="D12" s="9" t="inlineStr">
        <is>
          <t>8 min</t>
        </is>
      </c>
      <c r="E12" s="9" t="inlineStr">
        <is>
          <t>Section 8</t>
        </is>
      </c>
      <c r="F12" s="7" t="n">
        <v>5</v>
      </c>
      <c r="G12" s="8" t="inlineStr">
        <is>
          <t>Use the menus first. Keyboard shortcuts are optional and differ between Windows and Mac.</t>
        </is>
      </c>
    </row>
    <row r="13" ht="28" customHeight="1">
      <c r="A13" s="9" t="n">
        <v>5</v>
      </c>
      <c r="B13" s="10" t="inlineStr">
        <is>
          <t>T5 Descriptive Stats</t>
        </is>
      </c>
      <c r="C13" s="11" t="inlineStr">
        <is>
          <t>n, mean, SD, %RSD, SEM and a 95% confidence interval</t>
        </is>
      </c>
      <c r="D13" s="9" t="inlineStr">
        <is>
          <t>10 min</t>
        </is>
      </c>
      <c r="E13" s="9" t="inlineStr">
        <is>
          <t>Section 9</t>
        </is>
      </c>
      <c r="F13" s="7" t="n">
        <v>6</v>
      </c>
      <c r="G13" s="8" t="inlineStr">
        <is>
          <t>Nothing here is graded. Getting a Check formula message is part of the learning.</t>
        </is>
      </c>
    </row>
    <row r="14">
      <c r="A14" s="9" t="n">
        <v>6</v>
      </c>
      <c r="B14" s="10" t="inlineStr">
        <is>
          <t>T6 Calibration</t>
        </is>
      </c>
      <c r="C14" s="11" t="inlineStr">
        <is>
          <t>SLOPE, INTERCEPT, RSQ, STEYX, back-calculation, LOD and LOQ</t>
        </is>
      </c>
      <c r="D14" s="9" t="inlineStr">
        <is>
          <t>10 min</t>
        </is>
      </c>
      <c r="E14" s="9" t="inlineStr">
        <is>
          <t>Section 11</t>
        </is>
      </c>
    </row>
    <row r="15">
      <c r="A15" s="9" t="n">
        <v>7</v>
      </c>
      <c r="B15" s="10" t="inlineStr">
        <is>
          <t>T7 Charts</t>
        </is>
      </c>
      <c r="C15" s="11" t="inlineStr">
        <is>
          <t>XY scatter with a fitted line; dissolution profile with error bars</t>
        </is>
      </c>
      <c r="D15" s="9" t="inlineStr">
        <is>
          <t>10 min</t>
        </is>
      </c>
      <c r="E15" s="9" t="inlineStr">
        <is>
          <t>Section 12</t>
        </is>
      </c>
      <c r="G15" s="3" t="inlineStr">
        <is>
          <t>Windows and Mac</t>
        </is>
      </c>
    </row>
    <row r="16" ht="42" customHeight="1">
      <c r="A16" s="9" t="n">
        <v>8</v>
      </c>
      <c r="B16" s="10" t="inlineStr">
        <is>
          <t>T8 Compare Batches</t>
        </is>
      </c>
      <c r="C16" s="11" t="inlineStr">
        <is>
          <t>F-test, two-sample t-test and what a p-value does not tell you</t>
        </is>
      </c>
      <c r="D16" s="9" t="inlineStr">
        <is>
          <t>8 min (stretch)</t>
        </is>
      </c>
      <c r="E16" s="9" t="inlineStr">
        <is>
          <t>Section 10</t>
        </is>
      </c>
      <c r="G16" s="8" t="inlineStr">
        <is>
          <t>Cycle $ signs: F4 (Windows) or ⌘T (Mac). Format Cells: Ctrl+1 or ⌘1. If a shortcut behaves differently on your machine, use the Ribbon command named in the task.</t>
        </is>
      </c>
    </row>
    <row r="18">
      <c r="A18" s="3" t="inlineStr">
        <is>
          <t>Worked examples</t>
        </is>
      </c>
      <c r="C18" s="2" t="inlineStr">
        <is>
          <t>Formula patterns, statistics reference and chart guidance — use it whenever you are stuck.</t>
        </is>
      </c>
    </row>
    <row r="19">
      <c r="A19" s="3" t="inlineStr">
        <is>
          <t>Check answers</t>
        </is>
      </c>
      <c r="C19" s="2" t="inlineStr">
        <is>
          <t>A live status board for every task, plus the expected results.</t>
        </is>
      </c>
    </row>
    <row r="21" ht="42" customHeight="1">
      <c r="A21" s="3" t="inlineStr">
        <is>
          <t>Data note</t>
        </is>
      </c>
      <c r="C21" s="8" t="inlineStr">
        <is>
          <t>Every batch number, supplier, result and reading in this workbook is synthetic teaching data. Acceptance criteria are stated as in-house limits for the exercise and are not a substitute for the current BP or Ph. Eur. monograph.</t>
        </is>
      </c>
    </row>
  </sheetData>
  <mergeCells count="1">
    <mergeCell ref="C21:E21"/>
  </mergeCells>
  <pageMargins left="0.75" right="0.75" top="1" bottom="1" header="0.5" footer="0.5"/>
</worksheet>
</file>

<file path=xl/worksheets/sheet2.xml><?xml version="1.0" encoding="utf-8"?>
<worksheet xmlns="http://schemas.openxmlformats.org/spreadsheetml/2006/main">
  <sheetPr>
    <tabColor rgb="00ED1C24"/>
    <outlinePr summaryBelow="1" summaryRight="1"/>
    <pageSetUpPr/>
  </sheetPr>
  <dimension ref="A1:H26"/>
  <sheetViews>
    <sheetView showGridLines="0" workbookViewId="0">
      <selection activeCell="A1" sqref="A1"/>
    </sheetView>
  </sheetViews>
  <sheetFormatPr baseColWidth="8" defaultRowHeight="15"/>
  <cols>
    <col width="10" customWidth="1" min="1" max="1"/>
    <col width="18" customWidth="1" min="2" max="2"/>
    <col width="3" customWidth="1" min="3" max="3"/>
    <col width="26" customWidth="1" min="4" max="4"/>
    <col width="14" customWidth="1" min="5" max="5"/>
    <col width="34" customWidth="1" min="6" max="6"/>
    <col width="3" customWidth="1" min="7" max="7"/>
    <col width="46" customWidth="1" min="8" max="8"/>
  </cols>
  <sheetData>
    <row r="1">
      <c r="A1" s="1" t="inlineStr">
        <is>
          <t>Task 1 — Navigate, repair and format</t>
        </is>
      </c>
    </row>
    <row r="2">
      <c r="A2" s="2" t="inlineStr">
        <is>
          <t>Tablet core weights, Batch PT-2601. Target core weight 550.0 mg, n = 20.</t>
        </is>
      </c>
    </row>
    <row r="3">
      <c r="A3" s="12" t="inlineStr">
        <is>
          <t>Revise first: Sections 1–4 (Orientation · What Excel stores · Structuring data · Number formats)</t>
        </is>
      </c>
    </row>
    <row r="5" ht="15" customHeight="1">
      <c r="A5" s="5" t="inlineStr">
        <is>
          <t>The data — as received</t>
        </is>
      </c>
      <c r="D5" s="5" t="inlineStr">
        <is>
          <t>Do this</t>
        </is>
      </c>
      <c r="H5" s="13" t="inlineStr">
        <is>
          <t>READ THIS FIRST
Core weight is checked during compression to confirm the press is filling dies consistently. Two values in this extract were pasted from a report and arrived as text, so Excel will not count them. Finding that kind of fault before you analyse anything is the whole point of this task.</t>
        </is>
      </c>
    </row>
    <row r="6" ht="30" customHeight="1">
      <c r="A6" s="6" t="inlineStr">
        <is>
          <t>Tablet no.</t>
        </is>
      </c>
      <c r="B6" s="6" t="inlineStr">
        <is>
          <t>Core weight (mg)</t>
        </is>
      </c>
      <c r="D6" s="8" t="inlineStr">
        <is>
          <t>1. Select cell B7 and read the Name Box and the Formula Bar.</t>
        </is>
      </c>
      <c r="H6" s="14" t="n"/>
    </row>
    <row r="7" ht="30" customHeight="1">
      <c r="A7" s="9" t="n">
        <v>1</v>
      </c>
      <c r="B7" s="15" t="n">
        <v>548.2</v>
      </c>
      <c r="D7" s="8" t="inlineStr">
        <is>
          <t>2. Use View &gt; Freeze Panes &gt; Freeze Top Row so the headings stay visible.</t>
        </is>
      </c>
      <c r="H7" s="14" t="n"/>
    </row>
    <row r="8" ht="30" customHeight="1">
      <c r="A8" s="9" t="n">
        <v>2</v>
      </c>
      <c r="B8" s="15" t="n">
        <v>551.6</v>
      </c>
      <c r="D8" s="8" t="inlineStr">
        <is>
          <t>3. Use Home &gt; Format &gt; AutoFit Column Width on columns A and B.</t>
        </is>
      </c>
      <c r="H8" s="14" t="n"/>
    </row>
    <row r="9" ht="30" customHeight="1">
      <c r="A9" s="9" t="n">
        <v>3</v>
      </c>
      <c r="B9" s="15" t="n">
        <v>546.9</v>
      </c>
      <c r="D9" s="8" t="inlineStr">
        <is>
          <t>4. Two weights are stored as text. Delete the ' mg' so each is a number. Units belong in the heading, not the cell.</t>
        </is>
      </c>
      <c r="H9" s="14" t="n"/>
    </row>
    <row r="10" ht="30" customHeight="1">
      <c r="A10" s="9" t="n">
        <v>4</v>
      </c>
      <c r="B10" s="15" t="n">
        <v>553.1</v>
      </c>
      <c r="D10" s="8" t="inlineStr">
        <is>
          <t>5. Select B7:B26 and apply Home &gt; Number with one decimal place.</t>
        </is>
      </c>
      <c r="H10" s="14" t="n"/>
    </row>
    <row r="11" ht="30" customHeight="1">
      <c r="A11" s="9" t="n">
        <v>5</v>
      </c>
      <c r="B11" s="15" t="n">
        <v>549.8</v>
      </c>
      <c r="D11" s="8" t="inlineStr">
        <is>
          <t>6. Select B7:B26 and read the Count and Average on the Status Bar.</t>
        </is>
      </c>
      <c r="H11" s="16" t="n"/>
    </row>
    <row r="12" ht="30" customHeight="1">
      <c r="A12" s="9" t="n">
        <v>6</v>
      </c>
      <c r="B12" s="15" t="n">
        <v>552.4</v>
      </c>
      <c r="D12" s="8" t="inlineStr">
        <is>
          <t>7. Complete the two EDIT cells below, then save.</t>
        </is>
      </c>
    </row>
    <row r="13">
      <c r="A13" s="9" t="n">
        <v>7</v>
      </c>
      <c r="B13" s="15" t="n">
        <v>547.5</v>
      </c>
      <c r="H13" s="13" t="inlineStr">
        <is>
          <t>MANUAL CHECK — Excel cannot test these for you:
· the top row stays visible when you scroll;
· no heading or value is cut off;
· every weight shows one decimal place;
· the unit (mg) appears in the heading, not in the cells.</t>
        </is>
      </c>
    </row>
    <row r="14">
      <c r="A14" s="9" t="n">
        <v>8</v>
      </c>
      <c r="B14" s="15" t="n">
        <v>550.9</v>
      </c>
      <c r="H14" s="14" t="n"/>
    </row>
    <row r="15">
      <c r="A15" s="9" t="n">
        <v>9</v>
      </c>
      <c r="B15" s="15" t="n">
        <v>554.2</v>
      </c>
      <c r="D15" s="5" t="inlineStr">
        <is>
          <t>Your answers</t>
        </is>
      </c>
      <c r="H15" s="14" t="n"/>
    </row>
    <row r="16" ht="30" customHeight="1">
      <c r="A16" s="9" t="n">
        <v>10</v>
      </c>
      <c r="B16" s="15" t="n">
        <v>545.8</v>
      </c>
      <c r="D16" s="6" t="inlineStr">
        <is>
          <t>Question</t>
        </is>
      </c>
      <c r="E16" s="6" t="inlineStr">
        <is>
          <t>Your answer (EDIT)</t>
        </is>
      </c>
      <c r="F16" s="6" t="inlineStr">
        <is>
          <t>Check</t>
        </is>
      </c>
      <c r="H16" s="14" t="n"/>
    </row>
    <row r="17" ht="30" customHeight="1">
      <c r="A17" s="9" t="n">
        <v>11</v>
      </c>
      <c r="B17" s="15" t="n">
        <v>551</v>
      </c>
      <c r="D17" s="11" t="inlineStr">
        <is>
          <t>How many of B7:B26 are numbers?</t>
        </is>
      </c>
      <c r="E17" s="17" t="n">
        <v>20</v>
      </c>
      <c r="F17" s="11">
        <f>IF(E17="","Not started",IF(AND(E17=COUNT(B7:B26),E17=20),"Correct — all 20 values now calculate","Check: COUNT(B7:B26) is "&amp;COUNT(B7:B26)))</f>
        <v/>
      </c>
      <c r="H17" s="14" t="n"/>
    </row>
    <row r="18" ht="30" customHeight="1">
      <c r="A18" s="9" t="n">
        <v>12</v>
      </c>
      <c r="B18" s="15" t="n">
        <v>548.7</v>
      </c>
      <c r="D18" s="11" t="inlineStr">
        <is>
          <t>Mean core weight (mg), to 2 dp</t>
        </is>
      </c>
      <c r="E18" s="18">
        <f>AVERAGE(B7:B26)</f>
        <v/>
      </c>
      <c r="F18" s="11">
        <f>IF(E18="","Not started",IF(ABS(E18-550.155)&lt;0.05,"Correct","Check formula — did every value convert to a number?"))</f>
        <v/>
      </c>
      <c r="H18" s="16" t="n"/>
    </row>
    <row r="19" ht="30" customHeight="1">
      <c r="A19" s="9" t="n">
        <v>13</v>
      </c>
      <c r="B19" s="15" t="n">
        <v>553.6</v>
      </c>
      <c r="D19" s="11" t="inlineStr">
        <is>
          <t>Is the mean within ±1.0 mg of target? (Yes/No)</t>
        </is>
      </c>
      <c r="E19" s="19" t="inlineStr">
        <is>
          <t>Yes</t>
        </is>
      </c>
      <c r="F19" s="11">
        <f>IF(E19="","Not started",IF(EXACT(UPPER(TRIM(E19)),UPPER("Yes")),"Correct","Check answer"))</f>
        <v/>
      </c>
    </row>
    <row r="20">
      <c r="A20" s="9" t="n">
        <v>14</v>
      </c>
      <c r="B20" s="15" t="n">
        <v>549.2</v>
      </c>
    </row>
    <row r="21">
      <c r="A21" s="9" t="n">
        <v>15</v>
      </c>
      <c r="B21" s="15" t="n">
        <v>546.3</v>
      </c>
      <c r="D21" s="13" t="inlineStr">
        <is>
          <t>COMMON MISTAKE — retyping 550.2 as 550 to make the column look tidy. That throws away a real measurement. Change the number format instead; use ROUND only when a calculation genuinely needs a rounded input.</t>
        </is>
      </c>
      <c r="E21" s="20" t="n"/>
      <c r="F21" s="21" t="n"/>
    </row>
    <row r="22">
      <c r="A22" s="9" t="n">
        <v>16</v>
      </c>
      <c r="B22" s="15" t="n">
        <v>552.8</v>
      </c>
      <c r="D22" s="22" t="n"/>
      <c r="F22" s="23" t="n"/>
    </row>
    <row r="23">
      <c r="A23" s="9" t="n">
        <v>17</v>
      </c>
      <c r="B23" s="15" t="n">
        <v>550.1</v>
      </c>
      <c r="D23" s="24" t="n"/>
      <c r="E23" s="25" t="n"/>
      <c r="F23" s="26" t="n"/>
    </row>
    <row r="24">
      <c r="A24" s="9" t="n">
        <v>18</v>
      </c>
      <c r="B24" s="15" t="n">
        <v>547.9</v>
      </c>
    </row>
    <row r="25">
      <c r="A25" s="9" t="n">
        <v>19</v>
      </c>
      <c r="B25" s="15" t="n">
        <v>554.7</v>
      </c>
    </row>
    <row r="26">
      <c r="A26" s="9" t="n">
        <v>20</v>
      </c>
      <c r="B26" s="15" t="n">
        <v>548.4</v>
      </c>
    </row>
  </sheetData>
  <mergeCells count="3">
    <mergeCell ref="H13:H18"/>
    <mergeCell ref="H5:H11"/>
    <mergeCell ref="D21:F23"/>
  </mergeCells>
  <pageMargins left="0.75" right="0.75" top="1" bottom="1" header="0.5" footer="0.5"/>
</worksheet>
</file>

<file path=xl/worksheets/sheet3.xml><?xml version="1.0" encoding="utf-8"?>
<worksheet xmlns="http://schemas.openxmlformats.org/spreadsheetml/2006/main">
  <sheetPr>
    <tabColor rgb="00ED1C24"/>
    <outlinePr summaryBelow="1" summaryRight="1"/>
    <pageSetUpPr/>
  </sheetPr>
  <dimension ref="A1:M21"/>
  <sheetViews>
    <sheetView showGridLines="0" workbookViewId="0">
      <selection activeCell="A1" sqref="A1"/>
    </sheetView>
  </sheetViews>
  <sheetFormatPr baseColWidth="8" defaultRowHeight="15"/>
  <cols>
    <col width="10" customWidth="1" min="1" max="1"/>
    <col width="16" customWidth="1" min="2" max="2"/>
    <col width="16" customWidth="1" min="3" max="3"/>
    <col width="14" customWidth="1" min="4" max="4"/>
    <col width="30" customWidth="1" min="5" max="5"/>
    <col width="3" customWidth="1" min="6" max="6"/>
    <col width="16" customWidth="1" min="7" max="7"/>
    <col width="12" customWidth="1" min="8" max="8"/>
    <col width="12" customWidth="1" min="9" max="9"/>
    <col width="12" customWidth="1" min="10" max="10"/>
    <col width="12" customWidth="1" min="11" max="11"/>
    <col width="3" customWidth="1" min="12" max="12"/>
    <col width="44" customWidth="1" min="13" max="13"/>
  </cols>
  <sheetData>
    <row r="1">
      <c r="A1" s="1" t="inlineStr">
        <is>
          <t>Task 2 — Relative, absolute and mixed references</t>
        </is>
      </c>
    </row>
    <row r="2">
      <c r="A2" s="2" t="inlineStr">
        <is>
          <t>Deviation from target weight, then a dilution grid.</t>
        </is>
      </c>
    </row>
    <row r="3">
      <c r="A3" s="12" t="inlineStr">
        <is>
          <t>Revise first: Section 6 (Relative, absolute and mixed referencing)</t>
        </is>
      </c>
    </row>
    <row r="5">
      <c r="A5" s="3" t="inlineStr">
        <is>
          <t>Target core weight (mg)</t>
        </is>
      </c>
      <c r="C5" s="27" t="n">
        <v>550</v>
      </c>
      <c r="D5" s="28" t="inlineStr">
        <is>
          <t>← lock this cell in your formula</t>
        </is>
      </c>
      <c r="M5" s="13" t="inlineStr">
        <is>
          <t>READ THIS FIRST
A reference that moves when you copy it is relative. One locked with $ signs is absolute. The single most common spreadsheet error in a lab is copying a formula that should have pointed at one fixed cell — the target weight, a dilution factor, a response factor — and silently pointing it somewhere else instead.</t>
        </is>
      </c>
    </row>
    <row r="6">
      <c r="M6" s="14" t="n"/>
    </row>
    <row r="7">
      <c r="A7" s="5" t="inlineStr">
        <is>
          <t>Block A — deviation from target</t>
        </is>
      </c>
      <c r="G7" s="5" t="inlineStr">
        <is>
          <t>Block B — mixed references: a dilution grid</t>
        </is>
      </c>
      <c r="M7" s="14" t="n"/>
    </row>
    <row r="8" ht="30" customHeight="1">
      <c r="A8" s="6" t="inlineStr">
        <is>
          <t>Tablet no.</t>
        </is>
      </c>
      <c r="B8" s="6" t="inlineStr">
        <is>
          <t>Core weight (mg)</t>
        </is>
      </c>
      <c r="C8" s="6" t="inlineStr">
        <is>
          <t>Deviation (mg) EDIT</t>
        </is>
      </c>
      <c r="D8" s="6" t="inlineStr">
        <is>
          <t>% of target EDIT</t>
        </is>
      </c>
      <c r="E8" s="6" t="inlineStr">
        <is>
          <t>Check</t>
        </is>
      </c>
      <c r="G8" s="28" t="inlineStr">
        <is>
          <t>Resulting concentration (µg/mL) = stock concentration ÷ dilution factor</t>
        </is>
      </c>
      <c r="M8" s="14" t="n"/>
    </row>
    <row r="9">
      <c r="A9" s="9" t="n">
        <v>1</v>
      </c>
      <c r="B9" s="15" t="n">
        <v>548.2</v>
      </c>
      <c r="C9" s="18">
        <f>B9-$C$5</f>
        <v/>
      </c>
      <c r="D9" s="29">
        <f>B9/$C$5</f>
        <v/>
      </c>
      <c r="E9" s="11">
        <f>IF(AND(C9="",D9=""),"Not started",IF(AND(ABS(C9-(B9-$C$5))&lt;0.0001,ABS(D9-(B9/$C$5))&lt;0.000001),"Correct","Check formula"))</f>
        <v/>
      </c>
      <c r="G9" s="30" t="inlineStr">
        <is>
          <t>Stock (µg/mL)</t>
        </is>
      </c>
      <c r="H9" s="30" t="n">
        <v>2</v>
      </c>
      <c r="I9" s="30" t="n">
        <v>5</v>
      </c>
      <c r="J9" s="30" t="n">
        <v>10</v>
      </c>
      <c r="K9" s="30" t="n">
        <v>20</v>
      </c>
      <c r="M9" s="14" t="n"/>
    </row>
    <row r="10">
      <c r="A10" s="9" t="n">
        <v>2</v>
      </c>
      <c r="B10" s="15" t="n">
        <v>551.6</v>
      </c>
      <c r="C10" s="18">
        <f>B10-$C$5</f>
        <v/>
      </c>
      <c r="D10" s="29">
        <f>B10/$C$5</f>
        <v/>
      </c>
      <c r="E10" s="11">
        <f>IF(AND(C10="",D10=""),"Not started",IF(AND(ABS(C10-(B10-$C$5))&lt;0.0001,ABS(D10-(B10/$C$5))&lt;0.000001),"Correct","Check formula"))</f>
        <v/>
      </c>
      <c r="G10" s="31" t="inlineStr">
        <is>
          <t>Dilution factor →</t>
        </is>
      </c>
      <c r="M10" s="14" t="n"/>
    </row>
    <row r="11">
      <c r="A11" s="9" t="n">
        <v>3</v>
      </c>
      <c r="B11" s="15" t="n">
        <v>546.9</v>
      </c>
      <c r="C11" s="18">
        <f>B11-$C$5</f>
        <v/>
      </c>
      <c r="D11" s="29">
        <f>B11/$C$5</f>
        <v/>
      </c>
      <c r="E11" s="11">
        <f>IF(AND(C11="",D11=""),"Not started",IF(AND(ABS(C11-(B11-$C$5))&lt;0.0001,ABS(D11-(B11/$C$5))&lt;0.000001),"Correct","Check formula"))</f>
        <v/>
      </c>
      <c r="G11" s="32" t="n">
        <v>100</v>
      </c>
      <c r="H11" s="33">
        <f>$G11/H$9</f>
        <v/>
      </c>
      <c r="I11" s="33">
        <f>$G11/I$9</f>
        <v/>
      </c>
      <c r="J11" s="33">
        <f>$G11/J$9</f>
        <v/>
      </c>
      <c r="K11" s="33">
        <f>$G11/K$9</f>
        <v/>
      </c>
      <c r="M11" s="14" t="n"/>
    </row>
    <row r="12">
      <c r="A12" s="9" t="n">
        <v>4</v>
      </c>
      <c r="B12" s="15" t="n">
        <v>553.1</v>
      </c>
      <c r="C12" s="18">
        <f>B12-$C$5</f>
        <v/>
      </c>
      <c r="D12" s="29">
        <f>B12/$C$5</f>
        <v/>
      </c>
      <c r="E12" s="11">
        <f>IF(AND(C12="",D12=""),"Not started",IF(AND(ABS(C12-(B12-$C$5))&lt;0.0001,ABS(D12-(B12/$C$5))&lt;0.000001),"Correct","Check formula"))</f>
        <v/>
      </c>
      <c r="G12" s="32" t="n">
        <v>200</v>
      </c>
      <c r="H12" s="33">
        <f>$G12/H$9</f>
        <v/>
      </c>
      <c r="I12" s="33">
        <f>$G12/I$9</f>
        <v/>
      </c>
      <c r="J12" s="33">
        <f>$G12/J$9</f>
        <v/>
      </c>
      <c r="K12" s="33">
        <f>$G12/K$9</f>
        <v/>
      </c>
      <c r="M12" s="16" t="n"/>
    </row>
    <row r="13">
      <c r="A13" s="9" t="n">
        <v>5</v>
      </c>
      <c r="B13" s="15" t="n">
        <v>549.8</v>
      </c>
      <c r="C13" s="18">
        <f>B13-$C$5</f>
        <v/>
      </c>
      <c r="D13" s="29">
        <f>B13/$C$5</f>
        <v/>
      </c>
      <c r="E13" s="11">
        <f>IF(AND(C13="",D13=""),"Not started",IF(AND(ABS(C13-(B13-$C$5))&lt;0.0001,ABS(D13-(B13/$C$5))&lt;0.000001),"Correct","Check formula"))</f>
        <v/>
      </c>
      <c r="G13" s="32" t="n">
        <v>500</v>
      </c>
      <c r="H13" s="33">
        <f>$G13/H$9</f>
        <v/>
      </c>
      <c r="I13" s="33">
        <f>$G13/I$9</f>
        <v/>
      </c>
      <c r="J13" s="33">
        <f>$G13/J$9</f>
        <v/>
      </c>
      <c r="K13" s="33">
        <f>$G13/K$9</f>
        <v/>
      </c>
    </row>
    <row r="14">
      <c r="A14" s="9" t="n">
        <v>6</v>
      </c>
      <c r="B14" s="15" t="n">
        <v>552.4</v>
      </c>
      <c r="C14" s="18">
        <f>B14-$C$5</f>
        <v/>
      </c>
      <c r="D14" s="29">
        <f>B14/$C$5</f>
        <v/>
      </c>
      <c r="E14" s="11">
        <f>IF(AND(C14="",D14=""),"Not started",IF(AND(ABS(C14-(B14-$C$5))&lt;0.0001,ABS(D14-(B14/$C$5))&lt;0.000001),"Correct","Check formula"))</f>
        <v/>
      </c>
      <c r="G14" s="32" t="n">
        <v>1000</v>
      </c>
      <c r="H14" s="33">
        <f>$G14/H$9</f>
        <v/>
      </c>
      <c r="I14" s="33">
        <f>$G14/I$9</f>
        <v/>
      </c>
      <c r="J14" s="33">
        <f>$G14/J$9</f>
        <v/>
      </c>
      <c r="K14" s="33">
        <f>$G14/K$9</f>
        <v/>
      </c>
      <c r="M14" s="13" t="inlineStr">
        <is>
          <t>HOW $ WORKS
=B9-$C$5   column and row both locked
=$G11/H$9  column G locked, row 9 locked, the rest moves
Select the reference inside the Formula Bar, then press F4 (Windows) or ⌘T (Mac) to cycle through the four combinations.</t>
        </is>
      </c>
    </row>
    <row r="15">
      <c r="A15" s="9" t="n">
        <v>7</v>
      </c>
      <c r="B15" s="15" t="n">
        <v>547.5</v>
      </c>
      <c r="C15" s="18">
        <f>B15-$C$5</f>
        <v/>
      </c>
      <c r="D15" s="29">
        <f>B15/$C$5</f>
        <v/>
      </c>
      <c r="E15" s="11">
        <f>IF(AND(C15="",D15=""),"Not started",IF(AND(ABS(C15-(B15-$C$5))&lt;0.0001,ABS(D15-(B15/$C$5))&lt;0.000001),"Correct","Check formula"))</f>
        <v/>
      </c>
      <c r="M15" s="14" t="n"/>
    </row>
    <row r="16">
      <c r="A16" s="9" t="n">
        <v>8</v>
      </c>
      <c r="B16" s="15" t="n">
        <v>550.9</v>
      </c>
      <c r="C16" s="18">
        <f>B16-$C$5</f>
        <v/>
      </c>
      <c r="D16" s="29">
        <f>B16/$C$5</f>
        <v/>
      </c>
      <c r="E16" s="11">
        <f>IF(AND(C16="",D16=""),"Not started",IF(AND(ABS(C16-(B16-$C$5))&lt;0.0001,ABS(D16-(B16/$C$5))&lt;0.000001),"Correct","Check formula"))</f>
        <v/>
      </c>
      <c r="G16" s="13" t="inlineStr">
        <is>
          <t>Enter one formula in H11, then fill across and down. Column G and row 9 must each stay fixed.</t>
        </is>
      </c>
      <c r="H16" s="20" t="n"/>
      <c r="I16" s="20" t="n"/>
      <c r="J16" s="20" t="n"/>
      <c r="K16" s="21" t="n"/>
      <c r="M16" s="14" t="n"/>
    </row>
    <row r="17">
      <c r="A17" s="9" t="n">
        <v>9</v>
      </c>
      <c r="B17" s="15" t="n">
        <v>554.2</v>
      </c>
      <c r="C17" s="18">
        <f>B17-$C$5</f>
        <v/>
      </c>
      <c r="D17" s="29">
        <f>B17/$C$5</f>
        <v/>
      </c>
      <c r="E17" s="11">
        <f>IF(AND(C17="",D17=""),"Not started",IF(AND(ABS(C17-(B17-$C$5))&lt;0.0001,ABS(D17-(B17/$C$5))&lt;0.000001),"Correct","Check formula"))</f>
        <v/>
      </c>
      <c r="G17" s="24" t="n"/>
      <c r="H17" s="25" t="n"/>
      <c r="I17" s="25" t="n"/>
      <c r="J17" s="25" t="n"/>
      <c r="K17" s="26" t="n"/>
      <c r="M17" s="14" t="n"/>
    </row>
    <row r="18">
      <c r="A18" s="9" t="n">
        <v>10</v>
      </c>
      <c r="B18" s="15" t="n">
        <v>545.8</v>
      </c>
      <c r="C18" s="18">
        <f>B18-$C$5</f>
        <v/>
      </c>
      <c r="D18" s="29">
        <f>B18/$C$5</f>
        <v/>
      </c>
      <c r="E18" s="11">
        <f>IF(AND(C18="",D18=""),"Not started",IF(AND(ABS(C18-(B18-$C$5))&lt;0.0001,ABS(D18-(B18/$C$5))&lt;0.000001),"Correct","Check formula"))</f>
        <v/>
      </c>
      <c r="M18" s="14" t="n"/>
    </row>
    <row r="19">
      <c r="G19" s="3" t="inlineStr">
        <is>
          <t>Grid check</t>
        </is>
      </c>
      <c r="H19" s="11">
        <f>IF(COUNT(H11:K14)=0,"Not started",IF(AND(ABS(H11-50)&lt;0.0001,ABS(K11-5)&lt;0.0001,ABS(H14-500)&lt;0.0001,ABS(K14-50)&lt;0.0001),"Correct","Check formula — lock column G and row 9"))</f>
        <v/>
      </c>
      <c r="I19" s="34" t="n"/>
      <c r="J19" s="34" t="n"/>
      <c r="K19" s="35" t="n"/>
      <c r="M19" s="14" t="n"/>
    </row>
    <row r="20">
      <c r="A20" s="13" t="inlineStr">
        <is>
          <t>Enter C9 and D9 once, then fill down to row 18. If the answers go wrong as you fill, the target-weight reference is not locked.</t>
        </is>
      </c>
      <c r="B20" s="20" t="n"/>
      <c r="C20" s="20" t="n"/>
      <c r="D20" s="20" t="n"/>
      <c r="E20" s="21" t="n"/>
      <c r="M20" s="14" t="n"/>
    </row>
    <row r="21">
      <c r="A21" s="24" t="n"/>
      <c r="B21" s="25" t="n"/>
      <c r="C21" s="25" t="n"/>
      <c r="D21" s="25" t="n"/>
      <c r="E21" s="26" t="n"/>
      <c r="M21" s="16" t="n"/>
    </row>
  </sheetData>
  <mergeCells count="5">
    <mergeCell ref="M5:M12"/>
    <mergeCell ref="A20:E21"/>
    <mergeCell ref="G16:K17"/>
    <mergeCell ref="M14:M21"/>
    <mergeCell ref="H19:K19"/>
  </mergeCells>
  <pageMargins left="0.75" right="0.75" top="1" bottom="1" header="0.5" footer="0.5"/>
</worksheet>
</file>

<file path=xl/worksheets/sheet4.xml><?xml version="1.0" encoding="utf-8"?>
<worksheet xmlns="http://schemas.openxmlformats.org/spreadsheetml/2006/main">
  <sheetPr>
    <tabColor rgb="00ED1C24"/>
    <outlinePr summaryBelow="1" summaryRight="1"/>
    <pageSetUpPr/>
  </sheetPr>
  <dimension ref="A1:O26"/>
  <sheetViews>
    <sheetView showGridLines="0" workbookViewId="0">
      <selection activeCell="A1" sqref="A1"/>
    </sheetView>
  </sheetViews>
  <sheetFormatPr baseColWidth="8" defaultRowHeight="15"/>
  <cols>
    <col width="9" customWidth="1" min="1" max="1"/>
    <col width="14" customWidth="1" min="2" max="2"/>
    <col width="14" customWidth="1" min="3" max="3"/>
    <col width="18" customWidth="1" min="4" max="4"/>
    <col width="18" customWidth="1" min="5" max="5"/>
    <col width="24" customWidth="1" min="6" max="6"/>
    <col width="24" customWidth="1" min="7" max="7"/>
    <col width="3" customWidth="1" min="8" max="8"/>
    <col width="26" customWidth="1" min="9" max="9"/>
    <col width="15" customWidth="1" min="10" max="10"/>
    <col width="15" customWidth="1" min="11" max="11"/>
    <col width="26" customWidth="1" min="12" max="12"/>
    <col width="26" customWidth="1" min="13" max="13"/>
    <col width="3" customWidth="1" min="14" max="14"/>
    <col width="46" customWidth="1" min="15" max="15"/>
  </cols>
  <sheetData>
    <row r="1">
      <c r="A1" s="1" t="inlineStr">
        <is>
          <t>Task 3 — Functions and logical tests</t>
        </is>
      </c>
    </row>
    <row r="2">
      <c r="A2" s="2" t="inlineStr">
        <is>
          <t>Uniformity of content, two batches of paracetamol 500 mg tablets, 10 units each (% of label claim).</t>
        </is>
      </c>
    </row>
    <row r="3">
      <c r="A3" s="12" t="inlineStr">
        <is>
          <t>Revise first: Section 7 (Core functions and logical tests)</t>
        </is>
      </c>
    </row>
    <row r="5">
      <c r="A5" s="5" t="inlineStr">
        <is>
          <t>The data</t>
        </is>
      </c>
      <c r="I5" s="5" t="inlineStr">
        <is>
          <t>Batch summary</t>
        </is>
      </c>
      <c r="O5" s="13" t="inlineStr">
        <is>
          <t>READ THIS FIRST
In-house acceptance criterion for this exercise: every unit between 85.0% and 115.0% of label claim, and %RSD no greater than 6.0%. Batch PT-2601 was released; batch PT-2602 was not. Your job is to make the spreadsheet say why.
This is a teaching criterion. The real pharmacopoeial test for uniformity of dosage units calculates an acceptance value and is more involved.</t>
        </is>
      </c>
    </row>
    <row r="6" ht="30" customHeight="1">
      <c r="A6" s="6" t="inlineStr">
        <is>
          <t>Unit</t>
        </is>
      </c>
      <c r="B6" s="6" t="inlineStr">
        <is>
          <t>PT-2601 (%)</t>
        </is>
      </c>
      <c r="C6" s="6" t="inlineStr">
        <is>
          <t>PT-2602 (%)</t>
        </is>
      </c>
      <c r="D6" s="6" t="inlineStr">
        <is>
          <t>2601 flag EDIT</t>
        </is>
      </c>
      <c r="E6" s="6" t="inlineStr">
        <is>
          <t>2602 flag EDIT</t>
        </is>
      </c>
      <c r="F6" s="6" t="inlineStr">
        <is>
          <t>Check 2601</t>
        </is>
      </c>
      <c r="G6" s="6" t="inlineStr">
        <is>
          <t>Check 2602</t>
        </is>
      </c>
      <c r="I6" s="6" t="inlineStr">
        <is>
          <t>Statistic</t>
        </is>
      </c>
      <c r="J6" s="6" t="inlineStr">
        <is>
          <t>PT-2601 EDIT</t>
        </is>
      </c>
      <c r="K6" s="6" t="inlineStr">
        <is>
          <t>PT-2602 EDIT</t>
        </is>
      </c>
      <c r="L6" s="6" t="inlineStr">
        <is>
          <t>Check 2601</t>
        </is>
      </c>
      <c r="M6" s="6" t="inlineStr">
        <is>
          <t>Check 2602</t>
        </is>
      </c>
      <c r="O6" s="14" t="n"/>
    </row>
    <row r="7">
      <c r="A7" s="9" t="n">
        <v>1</v>
      </c>
      <c r="B7" s="15" t="n">
        <v>98.2</v>
      </c>
      <c r="C7" s="15" t="n">
        <v>97.40000000000001</v>
      </c>
      <c r="D7" s="19">
        <f>IF(AND(B7&gt;=85,B7&lt;=115),"Within","Outside")</f>
        <v/>
      </c>
      <c r="E7" s="19">
        <f>IF(AND(C7&gt;=85,C7&lt;=115),"Within","Outside")</f>
        <v/>
      </c>
      <c r="F7" s="11">
        <f>IF(D7="","Not started",IF(EXACT(D7,IF(AND(B7&gt;=85,B7&lt;=115),"Within","Outside")),"Correct","Check formula"))</f>
        <v/>
      </c>
      <c r="G7" s="11">
        <f>IF(E7="","Not started",IF(EXACT(E7,IF(AND(C7&gt;=85,C7&lt;=115),"Within","Outside")),"Correct","Check formula"))</f>
        <v/>
      </c>
      <c r="I7" s="36" t="inlineStr">
        <is>
          <t>Mean (%)</t>
        </is>
      </c>
      <c r="J7" s="18">
        <f>AVERAGE(B7:B16)</f>
        <v/>
      </c>
      <c r="K7" s="18">
        <f>AVERAGE(C7:C16)</f>
        <v/>
      </c>
      <c r="L7" s="11">
        <f>IF(J7="","Not started",IF(ABS(J7-(AVERAGE(B7:B16)))&lt;0.000001,"Correct","Check formula"))</f>
        <v/>
      </c>
      <c r="M7" s="11">
        <f>IF(K7="","Not started",IF(ABS(K7-(AVERAGE(C7:C16)))&lt;0.000001,"Correct","Check formula"))</f>
        <v/>
      </c>
      <c r="O7" s="14" t="n"/>
    </row>
    <row r="8">
      <c r="A8" s="9" t="n">
        <v>2</v>
      </c>
      <c r="B8" s="15" t="n">
        <v>101.4</v>
      </c>
      <c r="C8" s="15" t="n">
        <v>88.2</v>
      </c>
      <c r="D8" s="19">
        <f>IF(AND(B8&gt;=85,B8&lt;=115),"Within","Outside")</f>
        <v/>
      </c>
      <c r="E8" s="19">
        <f>IF(AND(C8&gt;=85,C8&lt;=115),"Within","Outside")</f>
        <v/>
      </c>
      <c r="F8" s="11">
        <f>IF(D8="","Not started",IF(EXACT(D8,IF(AND(B8&gt;=85,B8&lt;=115),"Within","Outside")),"Correct","Check formula"))</f>
        <v/>
      </c>
      <c r="G8" s="11">
        <f>IF(E8="","Not started",IF(EXACT(E8,IF(AND(C8&gt;=85,C8&lt;=115),"Within","Outside")),"Correct","Check formula"))</f>
        <v/>
      </c>
      <c r="I8" s="36" t="inlineStr">
        <is>
          <t>Standard deviation (%)</t>
        </is>
      </c>
      <c r="J8" s="37">
        <f>_xlfn.STDEV.S(B7:B16)</f>
        <v/>
      </c>
      <c r="K8" s="37">
        <f>_xlfn.STDEV.S(C7:C16)</f>
        <v/>
      </c>
      <c r="L8" s="11">
        <f>IF(J8="","Not started",IF(ABS(J8-(_xlfn.STDEV.S(B7:B16)))&lt;0.000001,"Correct","Check formula"))</f>
        <v/>
      </c>
      <c r="M8" s="11">
        <f>IF(K8="","Not started",IF(ABS(K8-(_xlfn.STDEV.S(C7:C16)))&lt;0.000001,"Correct","Check formula"))</f>
        <v/>
      </c>
      <c r="O8" s="14" t="n"/>
    </row>
    <row r="9">
      <c r="A9" s="9" t="n">
        <v>3</v>
      </c>
      <c r="B9" s="15" t="n">
        <v>96.8</v>
      </c>
      <c r="C9" s="15" t="n">
        <v>105.9</v>
      </c>
      <c r="D9" s="19">
        <f>IF(AND(B9&gt;=85,B9&lt;=115),"Within","Outside")</f>
        <v/>
      </c>
      <c r="E9" s="19">
        <f>IF(AND(C9&gt;=85,C9&lt;=115),"Within","Outside")</f>
        <v/>
      </c>
      <c r="F9" s="11">
        <f>IF(D9="","Not started",IF(EXACT(D9,IF(AND(B9&gt;=85,B9&lt;=115),"Within","Outside")),"Correct","Check formula"))</f>
        <v/>
      </c>
      <c r="G9" s="11">
        <f>IF(E9="","Not started",IF(EXACT(E9,IF(AND(C9&gt;=85,C9&lt;=115),"Within","Outside")),"Correct","Check formula"))</f>
        <v/>
      </c>
      <c r="I9" s="36" t="inlineStr">
        <is>
          <t>%RSD</t>
        </is>
      </c>
      <c r="J9" s="29">
        <f>_xlfn.STDEV.S(B7:B16)/AVERAGE(B7:B16)</f>
        <v/>
      </c>
      <c r="K9" s="29">
        <f>_xlfn.STDEV.S(C7:C16)/AVERAGE(C7:C16)</f>
        <v/>
      </c>
      <c r="L9" s="11">
        <f>IF(J9="","Not started",IF(ABS(J9-(_xlfn.STDEV.S(B7:B16)/AVERAGE(B7:B16)))&lt;0.000001,"Correct","Check formula"))</f>
        <v/>
      </c>
      <c r="M9" s="11">
        <f>IF(K9="","Not started",IF(ABS(K9-(_xlfn.STDEV.S(C7:C16)/AVERAGE(C7:C16)))&lt;0.000001,"Correct","Check formula"))</f>
        <v/>
      </c>
      <c r="O9" s="14" t="n"/>
    </row>
    <row r="10">
      <c r="A10" s="9" t="n">
        <v>4</v>
      </c>
      <c r="B10" s="15" t="n">
        <v>103.1</v>
      </c>
      <c r="C10" s="15" t="n">
        <v>84.59999999999999</v>
      </c>
      <c r="D10" s="19">
        <f>IF(AND(B10&gt;=85,B10&lt;=115),"Within","Outside")</f>
        <v/>
      </c>
      <c r="E10" s="19">
        <f>IF(AND(C10&gt;=85,C10&lt;=115),"Within","Outside")</f>
        <v/>
      </c>
      <c r="F10" s="11">
        <f>IF(D10="","Not started",IF(EXACT(D10,IF(AND(B10&gt;=85,B10&lt;=115),"Within","Outside")),"Correct","Check formula"))</f>
        <v/>
      </c>
      <c r="G10" s="11">
        <f>IF(E10="","Not started",IF(EXACT(E10,IF(AND(C10&gt;=85,C10&lt;=115),"Within","Outside")),"Correct","Check formula"))</f>
        <v/>
      </c>
      <c r="I10" s="36" t="inlineStr">
        <is>
          <t>Units outside 85–115%</t>
        </is>
      </c>
      <c r="J10" s="17">
        <f>COUNTIFS(B7:B16,"&lt;85")+COUNTIFS(B7:B16,"&gt;115")</f>
        <v/>
      </c>
      <c r="K10" s="17">
        <f>COUNTIFS(C7:C16,"&lt;85")+COUNTIFS(C7:C16,"&gt;115")</f>
        <v/>
      </c>
      <c r="L10" s="11">
        <f>IF(J10="","Not started",IF(ABS(J10-(COUNTIFS(B7:B16,"&lt;85")+COUNTIFS(B7:B16,"&gt;115")))&lt;0.000001,"Correct","Check formula"))</f>
        <v/>
      </c>
      <c r="M10" s="11">
        <f>IF(K10="","Not started",IF(ABS(K10-(COUNTIFS(C7:C16,"&lt;85")+COUNTIFS(C7:C16,"&gt;115")))&lt;0.000001,"Correct","Check formula"))</f>
        <v/>
      </c>
      <c r="O10" s="14" t="n"/>
    </row>
    <row r="11">
      <c r="A11" s="9" t="n">
        <v>5</v>
      </c>
      <c r="B11" s="15" t="n">
        <v>99.5</v>
      </c>
      <c r="C11" s="15" t="n">
        <v>101.2</v>
      </c>
      <c r="D11" s="19">
        <f>IF(AND(B11&gt;=85,B11&lt;=115),"Within","Outside")</f>
        <v/>
      </c>
      <c r="E11" s="19">
        <f>IF(AND(C11&gt;=85,C11&lt;=115),"Within","Outside")</f>
        <v/>
      </c>
      <c r="F11" s="11">
        <f>IF(D11="","Not started",IF(EXACT(D11,IF(AND(B11&gt;=85,B11&lt;=115),"Within","Outside")),"Correct","Check formula"))</f>
        <v/>
      </c>
      <c r="G11" s="11">
        <f>IF(E11="","Not started",IF(EXACT(E11,IF(AND(C11&gt;=85,C11&lt;=115),"Within","Outside")),"Correct","Check formula"))</f>
        <v/>
      </c>
      <c r="I11" s="36" t="inlineStr">
        <is>
          <t>Verdict (Pass/Fail)</t>
        </is>
      </c>
      <c r="J11" s="19">
        <f>IF(AND(J10=0,J9&lt;=0.06),"Pass","Fail")</f>
        <v/>
      </c>
      <c r="K11" s="19">
        <f>IF(AND(K10=0,K9&lt;=0.06),"Pass","Fail")</f>
        <v/>
      </c>
      <c r="L11" s="11">
        <f>IF(J11="","Not started",IF(EXACT(UPPER(TRIM(J11)),UPPER("Pass")),"Correct","Check answer"))</f>
        <v/>
      </c>
      <c r="M11" s="11">
        <f>IF(K11="","Not started",IF(EXACT(UPPER(TRIM(K11)),UPPER("Fail")),"Correct","Check answer"))</f>
        <v/>
      </c>
      <c r="O11" s="14" t="n"/>
    </row>
    <row r="12">
      <c r="A12" s="9" t="n">
        <v>6</v>
      </c>
      <c r="B12" s="15" t="n">
        <v>97.3</v>
      </c>
      <c r="C12" s="15" t="n">
        <v>93.8</v>
      </c>
      <c r="D12" s="19">
        <f>IF(AND(B12&gt;=85,B12&lt;=115),"Within","Outside")</f>
        <v/>
      </c>
      <c r="E12" s="19">
        <f>IF(AND(C12&gt;=85,C12&lt;=115),"Within","Outside")</f>
        <v/>
      </c>
      <c r="F12" s="11">
        <f>IF(D12="","Not started",IF(EXACT(D12,IF(AND(B12&gt;=85,B12&lt;=115),"Within","Outside")),"Correct","Check formula"))</f>
        <v/>
      </c>
      <c r="G12" s="11">
        <f>IF(E12="","Not started",IF(EXACT(E12,IF(AND(C12&gt;=85,C12&lt;=115),"Within","Outside")),"Correct","Check formula"))</f>
        <v/>
      </c>
      <c r="O12" s="14" t="n"/>
    </row>
    <row r="13">
      <c r="A13" s="9" t="n">
        <v>7</v>
      </c>
      <c r="B13" s="15" t="n">
        <v>102.6</v>
      </c>
      <c r="C13" s="15" t="n">
        <v>108.4</v>
      </c>
      <c r="D13" s="19">
        <f>IF(AND(B13&gt;=85,B13&lt;=115),"Within","Outside")</f>
        <v/>
      </c>
      <c r="E13" s="19">
        <f>IF(AND(C13&gt;=85,C13&lt;=115),"Within","Outside")</f>
        <v/>
      </c>
      <c r="F13" s="11">
        <f>IF(D13="","Not started",IF(EXACT(D13,IF(AND(B13&gt;=85,B13&lt;=115),"Within","Outside")),"Correct","Check formula"))</f>
        <v/>
      </c>
      <c r="G13" s="11">
        <f>IF(E13="","Not started",IF(EXACT(E13,IF(AND(C13&gt;=85,C13&lt;=115),"Within","Outside")),"Correct","Check formula"))</f>
        <v/>
      </c>
      <c r="I13" s="13" t="inlineStr">
        <is>
          <t>WATCH OUT — %RSD is the standard deviation expressed as a percentage of the mean, so it is SD ÷ mean. If you format that cell as a percentage, do not multiply by 100 as well.
Use STDEV.S, not STDEV.P. These ten units are a sample drawn from the batch, not the whole batch.</t>
        </is>
      </c>
      <c r="J13" s="20" t="n"/>
      <c r="K13" s="20" t="n"/>
      <c r="L13" s="20" t="n"/>
      <c r="M13" s="21" t="n"/>
      <c r="O13" s="14" t="n"/>
    </row>
    <row r="14">
      <c r="A14" s="9" t="n">
        <v>8</v>
      </c>
      <c r="B14" s="15" t="n">
        <v>100.8</v>
      </c>
      <c r="C14" s="15" t="n">
        <v>91.5</v>
      </c>
      <c r="D14" s="19">
        <f>IF(AND(B14&gt;=85,B14&lt;=115),"Within","Outside")</f>
        <v/>
      </c>
      <c r="E14" s="19">
        <f>IF(AND(C14&gt;=85,C14&lt;=115),"Within","Outside")</f>
        <v/>
      </c>
      <c r="F14" s="11">
        <f>IF(D14="","Not started",IF(EXACT(D14,IF(AND(B14&gt;=85,B14&lt;=115),"Within","Outside")),"Correct","Check formula"))</f>
        <v/>
      </c>
      <c r="G14" s="11">
        <f>IF(E14="","Not started",IF(EXACT(E14,IF(AND(C14&gt;=85,C14&lt;=115),"Within","Outside")),"Correct","Check formula"))</f>
        <v/>
      </c>
      <c r="I14" s="22" t="n"/>
      <c r="M14" s="23" t="n"/>
      <c r="O14" s="16" t="n"/>
    </row>
    <row r="15">
      <c r="A15" s="9" t="n">
        <v>9</v>
      </c>
      <c r="B15" s="15" t="n">
        <v>95.09999999999999</v>
      </c>
      <c r="C15" s="15" t="n">
        <v>99.7</v>
      </c>
      <c r="D15" s="19">
        <f>IF(AND(B15&gt;=85,B15&lt;=115),"Within","Outside")</f>
        <v/>
      </c>
      <c r="E15" s="19">
        <f>IF(AND(C15&gt;=85,C15&lt;=115),"Within","Outside")</f>
        <v/>
      </c>
      <c r="F15" s="11">
        <f>IF(D15="","Not started",IF(EXACT(D15,IF(AND(B15&gt;=85,B15&lt;=115),"Within","Outside")),"Correct","Check formula"))</f>
        <v/>
      </c>
      <c r="G15" s="11">
        <f>IF(E15="","Not started",IF(EXACT(E15,IF(AND(C15&gt;=85,C15&lt;=115),"Within","Outside")),"Correct","Check formula"))</f>
        <v/>
      </c>
      <c r="I15" s="22" t="n"/>
      <c r="M15" s="23" t="n"/>
    </row>
    <row r="16">
      <c r="A16" s="9" t="n">
        <v>10</v>
      </c>
      <c r="B16" s="15" t="n">
        <v>104.2</v>
      </c>
      <c r="C16" s="15" t="n">
        <v>86.3</v>
      </c>
      <c r="D16" s="19">
        <f>IF(AND(B16&gt;=85,B16&lt;=115),"Within","Outside")</f>
        <v/>
      </c>
      <c r="E16" s="19">
        <f>IF(AND(C16&gt;=85,C16&lt;=115),"Within","Outside")</f>
        <v/>
      </c>
      <c r="F16" s="11">
        <f>IF(D16="","Not started",IF(EXACT(D16,IF(AND(B16&gt;=85,B16&lt;=115),"Within","Outside")),"Correct","Check formula"))</f>
        <v/>
      </c>
      <c r="G16" s="11">
        <f>IF(E16="","Not started",IF(EXACT(E16,IF(AND(C16&gt;=85,C16&lt;=115),"Within","Outside")),"Correct","Check formula"))</f>
        <v/>
      </c>
      <c r="I16" s="22" t="n"/>
      <c r="M16" s="23" t="n"/>
    </row>
    <row r="17">
      <c r="I17" s="24" t="n"/>
      <c r="J17" s="25" t="n"/>
      <c r="K17" s="25" t="n"/>
      <c r="L17" s="25" t="n"/>
      <c r="M17" s="26" t="n"/>
      <c r="O17" s="13" t="inlineStr">
        <is>
          <t>FUNCTIONS YOU NEED
=AVERAGE(B7:B16)
=STDEV.S(B7:B16)
=COUNTIFS(B7:B16,"&lt;85")
=IF(AND(B7&gt;=85,B7&lt;=115),"Within","Outside")
IFS is a tidier alternative when you have more than two outcomes:
=IFS(B7&lt;85,"Low",B7&gt;115,"High",TRUE,"Within")</t>
        </is>
      </c>
    </row>
    <row r="18">
      <c r="A18" s="13" t="inlineStr">
        <is>
          <t>Use IF with AND. The two labels must read exactly "Within" and "Outside".</t>
        </is>
      </c>
      <c r="B18" s="20" t="n"/>
      <c r="C18" s="20" t="n"/>
      <c r="D18" s="20" t="n"/>
      <c r="E18" s="20" t="n"/>
      <c r="F18" s="20" t="n"/>
      <c r="G18" s="21" t="n"/>
      <c r="O18" s="14" t="n"/>
    </row>
    <row r="19">
      <c r="A19" s="24" t="n"/>
      <c r="B19" s="25" t="n"/>
      <c r="C19" s="25" t="n"/>
      <c r="D19" s="25" t="n"/>
      <c r="E19" s="25" t="n"/>
      <c r="F19" s="25" t="n"/>
      <c r="G19" s="26" t="n"/>
      <c r="O19" s="14" t="n"/>
    </row>
    <row r="20">
      <c r="O20" s="14" t="n"/>
    </row>
    <row r="21">
      <c r="O21" s="14" t="n"/>
    </row>
    <row r="22">
      <c r="O22" s="14" t="n"/>
    </row>
    <row r="23">
      <c r="O23" s="14" t="n"/>
    </row>
    <row r="24">
      <c r="O24" s="14" t="n"/>
    </row>
    <row r="25">
      <c r="O25" s="14" t="n"/>
    </row>
    <row r="26">
      <c r="O26" s="16" t="n"/>
    </row>
  </sheetData>
  <mergeCells count="4">
    <mergeCell ref="O5:O14"/>
    <mergeCell ref="A18:G19"/>
    <mergeCell ref="O17:O26"/>
    <mergeCell ref="I13:M17"/>
  </mergeCells>
  <pageMargins left="0.75" right="0.75" top="1" bottom="1" header="0.5" footer="0.5"/>
</worksheet>
</file>

<file path=xl/worksheets/sheet5.xml><?xml version="1.0" encoding="utf-8"?>
<worksheet xmlns="http://schemas.openxmlformats.org/spreadsheetml/2006/main">
  <sheetPr>
    <tabColor rgb="00ED1C24"/>
    <outlinePr summaryBelow="1" summaryRight="1"/>
    <pageSetUpPr/>
  </sheetPr>
  <dimension ref="A1:N29"/>
  <sheetViews>
    <sheetView showGridLines="0" workbookViewId="0">
      <selection activeCell="A1" sqref="A1"/>
    </sheetView>
  </sheetViews>
  <sheetFormatPr baseColWidth="8" defaultRowHeight="15"/>
  <cols>
    <col width="12" customWidth="1" min="1" max="1"/>
    <col width="36" customWidth="1" min="2" max="2"/>
    <col width="20" customWidth="1" min="3" max="3"/>
    <col width="24" customWidth="1" min="4" max="4"/>
    <col width="12" customWidth="1" min="5" max="5"/>
    <col width="30" customWidth="1" min="6" max="6"/>
    <col width="16" customWidth="1" min="7" max="7"/>
    <col width="18" customWidth="1" min="8" max="8"/>
    <col width="18" customWidth="1" min="9" max="9"/>
    <col width="18" customWidth="1" min="10" max="10"/>
    <col width="20" customWidth="1" min="11" max="11"/>
    <col width="30" customWidth="1" min="12" max="12"/>
    <col width="3" customWidth="1" min="13" max="13"/>
    <col width="46" customWidth="1" min="14" max="14"/>
  </cols>
  <sheetData>
    <row r="1">
      <c r="A1" s="1" t="inlineStr">
        <is>
          <t>Task 4 — XLOOKUP</t>
        </is>
      </c>
    </row>
    <row r="2">
      <c r="A2" s="2" t="inlineStr">
        <is>
          <t>Pull material details into a batch formulation, then band a blend by its Carr's index.</t>
        </is>
      </c>
    </row>
    <row r="3">
      <c r="A3" s="12" t="inlineStr">
        <is>
          <t>Revise first: Section 8 (Lookup: XLOOKUP and friends)</t>
        </is>
      </c>
    </row>
    <row r="5">
      <c r="A5" s="5" t="inlineStr">
        <is>
          <t>Reference table — approved raw materials</t>
        </is>
      </c>
      <c r="G5" s="5" t="inlineStr">
        <is>
          <t>Block B — flowability from Carr's index</t>
        </is>
      </c>
      <c r="N5" s="13" t="inlineStr">
        <is>
          <t>READ THIS FIRST
Exact-match XLOOKUP answers 'what is the record for this code?'. Approximate-match XLOOKUP answers 'which band does this number fall into?'. Both appear constantly in formulation and QC work, and mixing them up is how a lookup returns a confidently wrong answer.</t>
        </is>
      </c>
    </row>
    <row r="6" ht="30" customHeight="1">
      <c r="A6" s="6" t="inlineStr">
        <is>
          <t>Code</t>
        </is>
      </c>
      <c r="B6" s="6" t="inlineStr">
        <is>
          <t>Material</t>
        </is>
      </c>
      <c r="C6" s="6" t="inlineStr">
        <is>
          <t>Function</t>
        </is>
      </c>
      <c r="D6" s="6" t="inlineStr">
        <is>
          <t>Supplier</t>
        </is>
      </c>
      <c r="E6" s="6" t="inlineStr">
        <is>
          <t>Assay (%)</t>
        </is>
      </c>
      <c r="G6" s="28" t="inlineStr">
        <is>
          <t>Carr's index (%) = (tapped − bulk) ÷ tapped × 100</t>
        </is>
      </c>
      <c r="N6" s="14" t="n"/>
    </row>
    <row r="7" ht="30" customHeight="1">
      <c r="A7" s="9" t="inlineStr">
        <is>
          <t>RM-1042</t>
        </is>
      </c>
      <c r="B7" s="11" t="inlineStr">
        <is>
          <t>Paracetamol</t>
        </is>
      </c>
      <c r="C7" s="11" t="inlineStr">
        <is>
          <t>Active ingredient</t>
        </is>
      </c>
      <c r="D7" s="11" t="inlineStr">
        <is>
          <t>Ardmore Fine Chemicals</t>
        </is>
      </c>
      <c r="E7" s="15" t="n">
        <v>99.59999999999999</v>
      </c>
      <c r="G7" s="6" t="inlineStr">
        <is>
          <t>Lower limit (%)</t>
        </is>
      </c>
      <c r="H7" s="6" t="inlineStr">
        <is>
          <t>Flow character</t>
        </is>
      </c>
      <c r="N7" s="14" t="n"/>
    </row>
    <row r="8">
      <c r="A8" s="9" t="inlineStr">
        <is>
          <t>RM-2087</t>
        </is>
      </c>
      <c r="B8" s="11" t="inlineStr">
        <is>
          <t>Microcrystalline cellulose PH-102</t>
        </is>
      </c>
      <c r="C8" s="11" t="inlineStr">
        <is>
          <t>Filler</t>
        </is>
      </c>
      <c r="D8" s="11" t="inlineStr">
        <is>
          <t>Kestrel Excipients</t>
        </is>
      </c>
      <c r="E8" s="15" t="n">
        <v>99.09999999999999</v>
      </c>
      <c r="G8" s="38" t="n">
        <v>0</v>
      </c>
      <c r="H8" s="39" t="inlineStr">
        <is>
          <t>Excellent</t>
        </is>
      </c>
      <c r="N8" s="14" t="n"/>
    </row>
    <row r="9">
      <c r="A9" s="9" t="inlineStr">
        <is>
          <t>RM-2114</t>
        </is>
      </c>
      <c r="B9" s="11" t="inlineStr">
        <is>
          <t>Povidone K30</t>
        </is>
      </c>
      <c r="C9" s="11" t="inlineStr">
        <is>
          <t>Binder</t>
        </is>
      </c>
      <c r="D9" s="11" t="inlineStr">
        <is>
          <t>Kestrel Excipients</t>
        </is>
      </c>
      <c r="E9" s="15" t="n">
        <v>99.8</v>
      </c>
      <c r="G9" s="38" t="n">
        <v>11</v>
      </c>
      <c r="H9" s="39" t="inlineStr">
        <is>
          <t>Good</t>
        </is>
      </c>
      <c r="N9" s="14" t="n"/>
    </row>
    <row r="10">
      <c r="A10" s="9" t="inlineStr">
        <is>
          <t>RM-3025</t>
        </is>
      </c>
      <c r="B10" s="11" t="inlineStr">
        <is>
          <t>Croscarmellose sodium</t>
        </is>
      </c>
      <c r="C10" s="11" t="inlineStr">
        <is>
          <t>Disintegrant</t>
        </is>
      </c>
      <c r="D10" s="11" t="inlineStr">
        <is>
          <t>Lagan Pharma Supply</t>
        </is>
      </c>
      <c r="E10" s="15" t="n">
        <v>99.40000000000001</v>
      </c>
      <c r="G10" s="38" t="n">
        <v>16</v>
      </c>
      <c r="H10" s="39" t="inlineStr">
        <is>
          <t>Fair</t>
        </is>
      </c>
      <c r="N10" s="14" t="n"/>
    </row>
    <row r="11">
      <c r="A11" s="9" t="inlineStr">
        <is>
          <t>RM-3190</t>
        </is>
      </c>
      <c r="B11" s="11" t="inlineStr">
        <is>
          <t>Magnesium stearate</t>
        </is>
      </c>
      <c r="C11" s="11" t="inlineStr">
        <is>
          <t>Lubricant</t>
        </is>
      </c>
      <c r="D11" s="11" t="inlineStr">
        <is>
          <t>Strangford Ingredients</t>
        </is>
      </c>
      <c r="E11" s="15" t="n">
        <v>99.90000000000001</v>
      </c>
      <c r="G11" s="38" t="n">
        <v>21</v>
      </c>
      <c r="H11" s="39" t="inlineStr">
        <is>
          <t>Passable</t>
        </is>
      </c>
      <c r="N11" s="14" t="n"/>
    </row>
    <row r="12">
      <c r="A12" s="9" t="inlineStr">
        <is>
          <t>RM-4008</t>
        </is>
      </c>
      <c r="B12" s="11" t="inlineStr">
        <is>
          <t>Colloidal silicon dioxide</t>
        </is>
      </c>
      <c r="C12" s="11" t="inlineStr">
        <is>
          <t>Glidant</t>
        </is>
      </c>
      <c r="D12" s="11" t="inlineStr">
        <is>
          <t>Strangford Ingredients</t>
        </is>
      </c>
      <c r="E12" s="15" t="n">
        <v>99.7</v>
      </c>
      <c r="G12" s="38" t="n">
        <v>26</v>
      </c>
      <c r="H12" s="39" t="inlineStr">
        <is>
          <t>Poor</t>
        </is>
      </c>
      <c r="N12" s="16" t="n"/>
    </row>
    <row r="13">
      <c r="A13" s="9" t="inlineStr">
        <is>
          <t>RM-4156</t>
        </is>
      </c>
      <c r="B13" s="11" t="inlineStr">
        <is>
          <t>Talc</t>
        </is>
      </c>
      <c r="C13" s="11" t="inlineStr">
        <is>
          <t>Glidant</t>
        </is>
      </c>
      <c r="D13" s="11" t="inlineStr">
        <is>
          <t>Lagan Pharma Supply</t>
        </is>
      </c>
      <c r="E13" s="15" t="n">
        <v>99.2</v>
      </c>
      <c r="G13" s="38" t="n">
        <v>32</v>
      </c>
      <c r="H13" s="39" t="inlineStr">
        <is>
          <t>Very poor</t>
        </is>
      </c>
    </row>
    <row r="14">
      <c r="A14" s="9" t="inlineStr">
        <is>
          <t>RM-5023</t>
        </is>
      </c>
      <c r="B14" s="11" t="inlineStr">
        <is>
          <t>Lactose monohydrate 200M</t>
        </is>
      </c>
      <c r="C14" s="11" t="inlineStr">
        <is>
          <t>Filler</t>
        </is>
      </c>
      <c r="D14" s="11" t="inlineStr">
        <is>
          <t>Kestrel Excipients</t>
        </is>
      </c>
      <c r="E14" s="15" t="n">
        <v>99.5</v>
      </c>
      <c r="G14" s="38" t="n">
        <v>38</v>
      </c>
      <c r="H14" s="39" t="inlineStr">
        <is>
          <t>Very, very poor</t>
        </is>
      </c>
    </row>
    <row r="15">
      <c r="N15" s="13" t="inlineStr">
        <is>
          <t>SYNTAX
=XLOOKUP(lookup_value, lookup_array, return_array,
         [if_not_found], [match_mode], [search_mode])
match_mode 0 = exact (the default)
match_mode −1 = exact or next smaller
match_mode 1 = exact or next larger
XLOOKUP needs Microsoft 365 or Excel 2021. On Excel 2019 or older use INDEX/MATCH instead.</t>
        </is>
      </c>
    </row>
    <row r="16">
      <c r="N16" s="14" t="n"/>
    </row>
    <row r="17" ht="30" customHeight="1">
      <c r="A17" s="5" t="inlineStr">
        <is>
          <t>Block A — batch formulation BR-2601 (EDIT the three shaded columns)</t>
        </is>
      </c>
      <c r="G17" s="6" t="inlineStr">
        <is>
          <t>Blend</t>
        </is>
      </c>
      <c r="H17" s="6" t="inlineStr">
        <is>
          <t>Bulk density (g/mL)</t>
        </is>
      </c>
      <c r="I17" s="6" t="inlineStr">
        <is>
          <t>Tapped density (g/mL)</t>
        </is>
      </c>
      <c r="J17" s="6" t="inlineStr">
        <is>
          <t>Carr's index (%) EDIT</t>
        </is>
      </c>
      <c r="K17" s="6" t="inlineStr">
        <is>
          <t>Flow character EDIT</t>
        </is>
      </c>
      <c r="L17" s="6" t="inlineStr">
        <is>
          <t>Check</t>
        </is>
      </c>
      <c r="N17" s="14" t="n"/>
    </row>
    <row r="18" ht="30" customHeight="1">
      <c r="A18" s="6" t="inlineStr">
        <is>
          <t>Code</t>
        </is>
      </c>
      <c r="B18" s="6" t="inlineStr">
        <is>
          <t>Material EDIT</t>
        </is>
      </c>
      <c r="C18" s="6" t="inlineStr">
        <is>
          <t>Function EDIT</t>
        </is>
      </c>
      <c r="D18" s="6" t="inlineStr">
        <is>
          <t>Supplier EDIT</t>
        </is>
      </c>
      <c r="E18" s="6" t="inlineStr">
        <is>
          <t>mg/tablet</t>
        </is>
      </c>
      <c r="G18" s="9" t="inlineStr">
        <is>
          <t>BL-01</t>
        </is>
      </c>
      <c r="H18" s="40" t="n">
        <v>0.412</v>
      </c>
      <c r="I18" s="40" t="n">
        <v>0.478</v>
      </c>
      <c r="J18" s="33">
        <f>(I18-H18)/I18*100</f>
        <v/>
      </c>
      <c r="K18" s="19">
        <f>_xlfn.XLOOKUP(J18,$G$8:$G$14,$H$8:$H$14,,-1)</f>
        <v/>
      </c>
      <c r="L18" s="11">
        <f>IF(OR(J18="",K18=""),"Not started",IF(AND(ABS(J18-((I18-H18)/I18*100))&lt;0.01,EXACT(K18,_xlfn.XLOOKUP((I18-H18)/I18*100,$G$8:$G$14,$H$8:$H$14,,-1))),"Correct","Check formula"))</f>
        <v/>
      </c>
      <c r="N18" s="14" t="n"/>
    </row>
    <row r="19">
      <c r="A19" s="9" t="inlineStr">
        <is>
          <t>RM-1042</t>
        </is>
      </c>
      <c r="B19" s="19">
        <f>_xlfn.XLOOKUP(A19,$A$7:$A$14,$B$7:$B$14,"Not approved")</f>
        <v/>
      </c>
      <c r="C19" s="19">
        <f>_xlfn.XLOOKUP(A19,$A$7:$A$14,$C$7:$C$14,"Not approved")</f>
        <v/>
      </c>
      <c r="D19" s="19">
        <f>_xlfn.XLOOKUP(A19,$A$7:$A$14,$D$7:$D$14,"Not approved")</f>
        <v/>
      </c>
      <c r="E19" s="15" t="n">
        <v>500</v>
      </c>
      <c r="F19" s="30" t="inlineStr">
        <is>
          <t>Check</t>
        </is>
      </c>
      <c r="G19" s="9" t="inlineStr">
        <is>
          <t>BL-02</t>
        </is>
      </c>
      <c r="H19" s="40" t="n">
        <v>0.385</v>
      </c>
      <c r="I19" s="40" t="n">
        <v>0.502</v>
      </c>
      <c r="J19" s="33">
        <f>(I19-H19)/I19*100</f>
        <v/>
      </c>
      <c r="K19" s="19">
        <f>_xlfn.XLOOKUP(J19,$G$8:$G$14,$H$8:$H$14,,-1)</f>
        <v/>
      </c>
      <c r="L19" s="11">
        <f>IF(OR(J19="",K19=""),"Not started",IF(AND(ABS(J19-((I19-H19)/I19*100))&lt;0.01,EXACT(K19,_xlfn.XLOOKUP((I19-H19)/I19*100,$G$8:$G$14,$H$8:$H$14,,-1))),"Correct","Check formula"))</f>
        <v/>
      </c>
      <c r="N19" s="14" t="n"/>
    </row>
    <row r="20">
      <c r="A20" s="9" t="inlineStr">
        <is>
          <t>RM-5023</t>
        </is>
      </c>
      <c r="B20" s="19">
        <f>_xlfn.XLOOKUP(A20,$A$7:$A$14,$B$7:$B$14,"Not approved")</f>
        <v/>
      </c>
      <c r="C20" s="19">
        <f>_xlfn.XLOOKUP(A20,$A$7:$A$14,$C$7:$C$14,"Not approved")</f>
        <v/>
      </c>
      <c r="D20" s="19">
        <f>_xlfn.XLOOKUP(A20,$A$7:$A$14,$D$7:$D$14,"Not approved")</f>
        <v/>
      </c>
      <c r="E20" s="15" t="n">
        <v>28</v>
      </c>
      <c r="F20" s="11">
        <f>IF(COUNTA(B19:B24)=0,"Not started",IF(AND(EXACT(B19,"Paracetamol"),EXACT(D21,"Kestrel Excipients"),EXACT(B24,"Not approved")),"Correct","Check formula — row 24 should read Not approved"))</f>
        <v/>
      </c>
      <c r="G20" s="9" t="inlineStr">
        <is>
          <t>BL-03</t>
        </is>
      </c>
      <c r="H20" s="40" t="n">
        <v>0.441</v>
      </c>
      <c r="I20" s="40" t="n">
        <v>0.489</v>
      </c>
      <c r="J20" s="33">
        <f>(I20-H20)/I20*100</f>
        <v/>
      </c>
      <c r="K20" s="19">
        <f>_xlfn.XLOOKUP(J20,$G$8:$G$14,$H$8:$H$14,,-1)</f>
        <v/>
      </c>
      <c r="L20" s="11">
        <f>IF(OR(J20="",K20=""),"Not started",IF(AND(ABS(J20-((I20-H20)/I20*100))&lt;0.01,EXACT(K20,_xlfn.XLOOKUP((I20-H20)/I20*100,$G$8:$G$14,$H$8:$H$14,,-1))),"Correct","Check formula"))</f>
        <v/>
      </c>
      <c r="N20" s="14" t="n"/>
    </row>
    <row r="21">
      <c r="A21" s="9" t="inlineStr">
        <is>
          <t>RM-2114</t>
        </is>
      </c>
      <c r="B21" s="19">
        <f>_xlfn.XLOOKUP(A21,$A$7:$A$14,$B$7:$B$14,"Not approved")</f>
        <v/>
      </c>
      <c r="C21" s="19">
        <f>_xlfn.XLOOKUP(A21,$A$7:$A$14,$C$7:$C$14,"Not approved")</f>
        <v/>
      </c>
      <c r="D21" s="19">
        <f>_xlfn.XLOOKUP(A21,$A$7:$A$14,$D$7:$D$14,"Not approved")</f>
        <v/>
      </c>
      <c r="E21" s="15" t="n">
        <v>12</v>
      </c>
      <c r="F21" s="14" t="n"/>
      <c r="G21" s="9" t="inlineStr">
        <is>
          <t>BL-04</t>
        </is>
      </c>
      <c r="H21" s="40" t="n">
        <v>0.356</v>
      </c>
      <c r="I21" s="40" t="n">
        <v>0.518</v>
      </c>
      <c r="J21" s="33">
        <f>(I21-H21)/I21*100</f>
        <v/>
      </c>
      <c r="K21" s="19">
        <f>_xlfn.XLOOKUP(J21,$G$8:$G$14,$H$8:$H$14,,-1)</f>
        <v/>
      </c>
      <c r="L21" s="11">
        <f>IF(OR(J21="",K21=""),"Not started",IF(AND(ABS(J21-((I21-H21)/I21*100))&lt;0.01,EXACT(K21,_xlfn.XLOOKUP((I21-H21)/I21*100,$G$8:$G$14,$H$8:$H$14,,-1))),"Correct","Check formula"))</f>
        <v/>
      </c>
      <c r="N21" s="14" t="n"/>
    </row>
    <row r="22">
      <c r="A22" s="9" t="inlineStr">
        <is>
          <t>RM-3025</t>
        </is>
      </c>
      <c r="B22" s="19">
        <f>_xlfn.XLOOKUP(A22,$A$7:$A$14,$B$7:$B$14,"Not approved")</f>
        <v/>
      </c>
      <c r="C22" s="19">
        <f>_xlfn.XLOOKUP(A22,$A$7:$A$14,$C$7:$C$14,"Not approved")</f>
        <v/>
      </c>
      <c r="D22" s="19">
        <f>_xlfn.XLOOKUP(A22,$A$7:$A$14,$D$7:$D$14,"Not approved")</f>
        <v/>
      </c>
      <c r="E22" s="15" t="n">
        <v>5.5</v>
      </c>
      <c r="F22" s="16" t="n"/>
      <c r="G22" s="9" t="inlineStr">
        <is>
          <t>BL-05</t>
        </is>
      </c>
      <c r="H22" s="40" t="n">
        <v>0.398</v>
      </c>
      <c r="I22" s="40" t="n">
        <v>0.473</v>
      </c>
      <c r="J22" s="33">
        <f>(I22-H22)/I22*100</f>
        <v/>
      </c>
      <c r="K22" s="19">
        <f>_xlfn.XLOOKUP(J22,$G$8:$G$14,$H$8:$H$14,,-1)</f>
        <v/>
      </c>
      <c r="L22" s="11">
        <f>IF(OR(J22="",K22=""),"Not started",IF(AND(ABS(J22-((I22-H22)/I22*100))&lt;0.01,EXACT(K22,_xlfn.XLOOKUP((I22-H22)/I22*100,$G$8:$G$14,$H$8:$H$14,,-1))),"Correct","Check formula"))</f>
        <v/>
      </c>
      <c r="N22" s="14" t="n"/>
    </row>
    <row r="23">
      <c r="A23" s="9" t="inlineStr">
        <is>
          <t>RM-3190</t>
        </is>
      </c>
      <c r="B23" s="19">
        <f>_xlfn.XLOOKUP(A23,$A$7:$A$14,$B$7:$B$14,"Not approved")</f>
        <v/>
      </c>
      <c r="C23" s="19">
        <f>_xlfn.XLOOKUP(A23,$A$7:$A$14,$C$7:$C$14,"Not approved")</f>
        <v/>
      </c>
      <c r="D23" s="19">
        <f>_xlfn.XLOOKUP(A23,$A$7:$A$14,$D$7:$D$14,"Not approved")</f>
        <v/>
      </c>
      <c r="E23" s="15" t="n">
        <v>3</v>
      </c>
      <c r="G23" s="9" t="inlineStr">
        <is>
          <t>BL-06</t>
        </is>
      </c>
      <c r="H23" s="40" t="n">
        <v>0.327</v>
      </c>
      <c r="I23" s="40" t="n">
        <v>0.529</v>
      </c>
      <c r="J23" s="33">
        <f>(I23-H23)/I23*100</f>
        <v/>
      </c>
      <c r="K23" s="19">
        <f>_xlfn.XLOOKUP(J23,$G$8:$G$14,$H$8:$H$14,,-1)</f>
        <v/>
      </c>
      <c r="L23" s="11">
        <f>IF(OR(J23="",K23=""),"Not started",IF(AND(ABS(J23-((I23-H23)/I23*100))&lt;0.01,EXACT(K23,_xlfn.XLOOKUP((I23-H23)/I23*100,$G$8:$G$14,$H$8:$H$14,,-1))),"Correct","Check formula"))</f>
        <v/>
      </c>
      <c r="N23" s="14" t="n"/>
    </row>
    <row r="24">
      <c r="A24" s="9" t="inlineStr">
        <is>
          <t>RM-9999</t>
        </is>
      </c>
      <c r="B24" s="19">
        <f>_xlfn.XLOOKUP(A24,$A$7:$A$14,$B$7:$B$14,"Not approved")</f>
        <v/>
      </c>
      <c r="C24" s="19">
        <f>_xlfn.XLOOKUP(A24,$A$7:$A$14,$C$7:$C$14,"Not approved")</f>
        <v/>
      </c>
      <c r="D24" s="19">
        <f>_xlfn.XLOOKUP(A24,$A$7:$A$14,$D$7:$D$14,"Not approved")</f>
        <v/>
      </c>
      <c r="E24" s="15" t="n">
        <v>1.5</v>
      </c>
      <c r="N24" s="14" t="n"/>
    </row>
    <row r="25">
      <c r="G25" s="13" t="inlineStr">
        <is>
          <t>The fifth argument of XLOOKUP is match_mode. Use −1 for 'exact match or the next smaller item', which is what a banded table like this needs. Note BL-05 at 15.9% — it lands in Good, not Fair. A lookup that rounded first would get that wrong.</t>
        </is>
      </c>
      <c r="H25" s="20" t="n"/>
      <c r="I25" s="20" t="n"/>
      <c r="J25" s="20" t="n"/>
      <c r="K25" s="20" t="n"/>
      <c r="L25" s="21" t="n"/>
      <c r="N25" s="14" t="n"/>
    </row>
    <row r="26">
      <c r="G26" s="22" t="n"/>
      <c r="L26" s="23" t="n"/>
      <c r="N26" s="16" t="n"/>
    </row>
    <row r="27">
      <c r="A27" s="13" t="inlineStr">
        <is>
          <t>RM-9999 is not on the approved list. Use the fourth argument of XLOOKUP, if_not_found, so the cell returns "Not approved" instead of #N/A. Lock the lookup and return ranges with $ so the formula fills down cleanly.</t>
        </is>
      </c>
      <c r="B27" s="20" t="n"/>
      <c r="C27" s="20" t="n"/>
      <c r="D27" s="20" t="n"/>
      <c r="E27" s="21" t="n"/>
      <c r="G27" s="24" t="n"/>
      <c r="H27" s="25" t="n"/>
      <c r="I27" s="25" t="n"/>
      <c r="J27" s="25" t="n"/>
      <c r="K27" s="25" t="n"/>
      <c r="L27" s="26" t="n"/>
    </row>
    <row r="28">
      <c r="A28" s="22" t="n"/>
      <c r="E28" s="23" t="n"/>
    </row>
    <row r="29">
      <c r="A29" s="24" t="n"/>
      <c r="B29" s="25" t="n"/>
      <c r="C29" s="25" t="n"/>
      <c r="D29" s="25" t="n"/>
      <c r="E29" s="26" t="n"/>
    </row>
  </sheetData>
  <mergeCells count="6">
    <mergeCell ref="G6:J6"/>
    <mergeCell ref="N15:N26"/>
    <mergeCell ref="F20:F22"/>
    <mergeCell ref="A27:E29"/>
    <mergeCell ref="G25:L27"/>
    <mergeCell ref="N5:N12"/>
  </mergeCells>
  <pageMargins left="0.75" right="0.75" top="1" bottom="1" header="0.5" footer="0.5"/>
</worksheet>
</file>

<file path=xl/worksheets/sheet6.xml><?xml version="1.0" encoding="utf-8"?>
<worksheet xmlns="http://schemas.openxmlformats.org/spreadsheetml/2006/main">
  <sheetPr>
    <tabColor rgb="00ED1C24"/>
    <outlinePr summaryBelow="1" summaryRight="1"/>
    <pageSetUpPr/>
  </sheetPr>
  <dimension ref="A1:K25"/>
  <sheetViews>
    <sheetView showGridLines="0" workbookViewId="0">
      <selection activeCell="A1" sqref="A1"/>
    </sheetView>
  </sheetViews>
  <sheetFormatPr baseColWidth="8" defaultRowHeight="15"/>
  <cols>
    <col width="9" customWidth="1" min="1" max="1"/>
    <col width="14" customWidth="1" min="2" max="2"/>
    <col width="14" customWidth="1" min="3" max="3"/>
    <col width="3" customWidth="1" min="4" max="4"/>
    <col width="34" customWidth="1" min="5" max="5"/>
    <col width="15" customWidth="1" min="6" max="6"/>
    <col width="15" customWidth="1" min="7" max="7"/>
    <col width="26" customWidth="1" min="8" max="8"/>
    <col width="26" customWidth="1" min="9" max="9"/>
    <col width="3" customWidth="1" min="10" max="10"/>
    <col width="46" customWidth="1" min="11" max="11"/>
  </cols>
  <sheetData>
    <row r="1">
      <c r="A1" s="1" t="inlineStr">
        <is>
          <t>Task 5 — Describing a set of results</t>
        </is>
      </c>
    </row>
    <row r="2">
      <c r="A2" s="2" t="inlineStr">
        <is>
          <t>Dissolution at 45 minutes, paracetamol 500 mg tablets, 12 vessels per batch (% released).</t>
        </is>
      </c>
    </row>
    <row r="3">
      <c r="A3" s="12" t="inlineStr">
        <is>
          <t>Revise first: Section 9 (Descriptive statistics)</t>
        </is>
      </c>
    </row>
    <row r="5">
      <c r="A5" s="5" t="inlineStr">
        <is>
          <t>The data</t>
        </is>
      </c>
      <c r="E5" s="5" t="inlineStr">
        <is>
          <t>Summarise each batch</t>
        </is>
      </c>
      <c r="K5" s="13" t="inlineStr">
        <is>
          <t>READ THIS FIRST
A dissolution result is not one number, it is twelve. Reporting only the mean hides the thing a regulator cares about most: spread. Two batches can share a mean and behave completely differently in a patient.
In-house stage-1 criterion for this exercise: every vessel at or above 85% released at 45 minutes.</t>
        </is>
      </c>
    </row>
    <row r="6" ht="30" customHeight="1">
      <c r="A6" s="6" t="inlineStr">
        <is>
          <t>Vessel</t>
        </is>
      </c>
      <c r="B6" s="6" t="inlineStr">
        <is>
          <t>PT-2601 (%)</t>
        </is>
      </c>
      <c r="C6" s="6" t="inlineStr">
        <is>
          <t>PT-2602 (%)</t>
        </is>
      </c>
      <c r="E6" s="6" t="inlineStr">
        <is>
          <t>Statistic</t>
        </is>
      </c>
      <c r="F6" s="6" t="inlineStr">
        <is>
          <t>PT-2601 EDIT</t>
        </is>
      </c>
      <c r="G6" s="6" t="inlineStr">
        <is>
          <t>PT-2602 EDIT</t>
        </is>
      </c>
      <c r="H6" s="6" t="inlineStr">
        <is>
          <t>Check 2601</t>
        </is>
      </c>
      <c r="I6" s="6" t="inlineStr">
        <is>
          <t>Check 2602</t>
        </is>
      </c>
      <c r="K6" s="14" t="n"/>
    </row>
    <row r="7">
      <c r="A7" s="9" t="n">
        <v>1</v>
      </c>
      <c r="B7" s="15" t="n">
        <v>92.40000000000001</v>
      </c>
      <c r="C7" s="15" t="n">
        <v>88.2</v>
      </c>
      <c r="E7" s="36" t="inlineStr">
        <is>
          <t>n (number of vessels)</t>
        </is>
      </c>
      <c r="F7" s="17">
        <f>COUNT($B$7:$B$18)</f>
        <v/>
      </c>
      <c r="G7" s="17">
        <f>COUNT($C$7:$C$18)</f>
        <v/>
      </c>
      <c r="H7" s="11">
        <f>IF(F7="","Not started",IF(ABS(F7-(COUNT($B$7:$B$18)))&lt;0.000001,"Correct","Check formula"))</f>
        <v/>
      </c>
      <c r="I7" s="11">
        <f>IF(G7="","Not started",IF(ABS(G7-(COUNT($C$7:$C$18)))&lt;0.000001,"Correct","Check formula"))</f>
        <v/>
      </c>
      <c r="K7" s="14" t="n"/>
    </row>
    <row r="8">
      <c r="A8" s="9" t="n">
        <v>2</v>
      </c>
      <c r="B8" s="15" t="n">
        <v>94.09999999999999</v>
      </c>
      <c r="C8" s="15" t="n">
        <v>91.5</v>
      </c>
      <c r="E8" s="36" t="inlineStr">
        <is>
          <t>Mean (%)</t>
        </is>
      </c>
      <c r="F8" s="18">
        <f>AVERAGE($B$7:$B$18)</f>
        <v/>
      </c>
      <c r="G8" s="18">
        <f>AVERAGE($C$7:$C$18)</f>
        <v/>
      </c>
      <c r="H8" s="11">
        <f>IF(F8="","Not started",IF(ABS(F8-(AVERAGE($B$7:$B$18)))&lt;0.000001,"Correct","Check formula"))</f>
        <v/>
      </c>
      <c r="I8" s="11">
        <f>IF(G8="","Not started",IF(ABS(G8-(AVERAGE($C$7:$C$18)))&lt;0.000001,"Correct","Check formula"))</f>
        <v/>
      </c>
      <c r="K8" s="14" t="n"/>
    </row>
    <row r="9">
      <c r="A9" s="9" t="n">
        <v>3</v>
      </c>
      <c r="B9" s="15" t="n">
        <v>90.8</v>
      </c>
      <c r="C9" s="15" t="n">
        <v>84.3</v>
      </c>
      <c r="E9" s="36" t="inlineStr">
        <is>
          <t>Median (%)</t>
        </is>
      </c>
      <c r="F9" s="18">
        <f>MEDIAN($B$7:$B$18)</f>
        <v/>
      </c>
      <c r="G9" s="18">
        <f>MEDIAN($C$7:$C$18)</f>
        <v/>
      </c>
      <c r="H9" s="11">
        <f>IF(F9="","Not started",IF(ABS(F9-(MEDIAN($B$7:$B$18)))&lt;0.000001,"Correct","Check formula"))</f>
        <v/>
      </c>
      <c r="I9" s="11">
        <f>IF(G9="","Not started",IF(ABS(G9-(MEDIAN($C$7:$C$18)))&lt;0.000001,"Correct","Check formula"))</f>
        <v/>
      </c>
      <c r="K9" s="14" t="n"/>
    </row>
    <row r="10">
      <c r="A10" s="9" t="n">
        <v>4</v>
      </c>
      <c r="B10" s="15" t="n">
        <v>95.3</v>
      </c>
      <c r="C10" s="15" t="n">
        <v>93.7</v>
      </c>
      <c r="E10" s="36" t="inlineStr">
        <is>
          <t>Standard deviation (%)</t>
        </is>
      </c>
      <c r="F10" s="37">
        <f>_xlfn.STDEV.S($B$7:$B$18)</f>
        <v/>
      </c>
      <c r="G10" s="37">
        <f>_xlfn.STDEV.S($C$7:$C$18)</f>
        <v/>
      </c>
      <c r="H10" s="11">
        <f>IF(F10="","Not started",IF(ABS(F10-(_xlfn.STDEV.S($B$7:$B$18)))&lt;0.000001,"Correct","Check formula"))</f>
        <v/>
      </c>
      <c r="I10" s="11">
        <f>IF(G10="","Not started",IF(ABS(G10-(_xlfn.STDEV.S($C$7:$C$18)))&lt;0.000001,"Correct","Check formula"))</f>
        <v/>
      </c>
      <c r="K10" s="14" t="n"/>
    </row>
    <row r="11">
      <c r="A11" s="9" t="n">
        <v>5</v>
      </c>
      <c r="B11" s="15" t="n">
        <v>93.7</v>
      </c>
      <c r="C11" s="15" t="n">
        <v>86.90000000000001</v>
      </c>
      <c r="E11" s="36" t="inlineStr">
        <is>
          <t>Minimum (%)</t>
        </is>
      </c>
      <c r="F11" s="33">
        <f>MIN($B$7:$B$18)</f>
        <v/>
      </c>
      <c r="G11" s="33">
        <f>MIN($C$7:$C$18)</f>
        <v/>
      </c>
      <c r="H11" s="11">
        <f>IF(F11="","Not started",IF(ABS(F11-(MIN($B$7:$B$18)))&lt;0.000001,"Correct","Check formula"))</f>
        <v/>
      </c>
      <c r="I11" s="11">
        <f>IF(G11="","Not started",IF(ABS(G11-(MIN($C$7:$C$18)))&lt;0.000001,"Correct","Check formula"))</f>
        <v/>
      </c>
      <c r="K11" s="14" t="n"/>
    </row>
    <row r="12">
      <c r="A12" s="9" t="n">
        <v>6</v>
      </c>
      <c r="B12" s="15" t="n">
        <v>91.2</v>
      </c>
      <c r="C12" s="15" t="n">
        <v>90.09999999999999</v>
      </c>
      <c r="E12" s="36" t="inlineStr">
        <is>
          <t>Maximum (%)</t>
        </is>
      </c>
      <c r="F12" s="33">
        <f>MAX($B$7:$B$18)</f>
        <v/>
      </c>
      <c r="G12" s="33">
        <f>MAX($C$7:$C$18)</f>
        <v/>
      </c>
      <c r="H12" s="11">
        <f>IF(F12="","Not started",IF(ABS(F12-(MAX($B$7:$B$18)))&lt;0.000001,"Correct","Check formula"))</f>
        <v/>
      </c>
      <c r="I12" s="11">
        <f>IF(G12="","Not started",IF(ABS(G12-(MAX($C$7:$C$18)))&lt;0.000001,"Correct","Check formula"))</f>
        <v/>
      </c>
      <c r="K12" s="14" t="n"/>
    </row>
    <row r="13">
      <c r="A13" s="9" t="n">
        <v>7</v>
      </c>
      <c r="B13" s="15" t="n">
        <v>96</v>
      </c>
      <c r="C13" s="15" t="n">
        <v>82.59999999999999</v>
      </c>
      <c r="E13" s="36" t="inlineStr">
        <is>
          <t>Range (%)</t>
        </is>
      </c>
      <c r="F13" s="33">
        <f>MAX($B$7:$B$18)-MIN($B$7:$B$18)</f>
        <v/>
      </c>
      <c r="G13" s="33">
        <f>MAX($C$7:$C$18)-MIN($C$7:$C$18)</f>
        <v/>
      </c>
      <c r="H13" s="11">
        <f>IF(F13="","Not started",IF(ABS(F13-(MAX($B$7:$B$18)-MIN($B$7:$B$18)))&lt;0.000001,"Correct","Check formula"))</f>
        <v/>
      </c>
      <c r="I13" s="11">
        <f>IF(G13="","Not started",IF(ABS(G13-(MAX($C$7:$C$18)-MIN($C$7:$C$18)))&lt;0.000001,"Correct","Check formula"))</f>
        <v/>
      </c>
      <c r="K13" s="16" t="n"/>
    </row>
    <row r="14">
      <c r="A14" s="9" t="n">
        <v>8</v>
      </c>
      <c r="B14" s="15" t="n">
        <v>92.8</v>
      </c>
      <c r="C14" s="15" t="n">
        <v>94.2</v>
      </c>
      <c r="E14" s="36" t="inlineStr">
        <is>
          <t>%RSD</t>
        </is>
      </c>
      <c r="F14" s="29">
        <f>_xlfn.STDEV.S($B$7:$B$18)/AVERAGE($B$7:$B$18)</f>
        <v/>
      </c>
      <c r="G14" s="29">
        <f>_xlfn.STDEV.S($C$7:$C$18)/AVERAGE($C$7:$C$18)</f>
        <v/>
      </c>
      <c r="H14" s="11">
        <f>IF(F14="","Not started",IF(ABS(F14-(_xlfn.STDEV.S($B$7:$B$18)/AVERAGE($B$7:$B$18)))&lt;0.000001,"Correct","Check formula"))</f>
        <v/>
      </c>
      <c r="I14" s="11">
        <f>IF(G14="","Not started",IF(ABS(G14-(_xlfn.STDEV.S($C$7:$C$18)/AVERAGE($C$7:$C$18)))&lt;0.000001,"Correct","Check formula"))</f>
        <v/>
      </c>
    </row>
    <row r="15">
      <c r="A15" s="9" t="n">
        <v>9</v>
      </c>
      <c r="B15" s="15" t="n">
        <v>94.5</v>
      </c>
      <c r="C15" s="15" t="n">
        <v>89.40000000000001</v>
      </c>
      <c r="E15" s="36" t="inlineStr">
        <is>
          <t>Standard error of the mean</t>
        </is>
      </c>
      <c r="F15" s="37">
        <f>_xlfn.STDEV.S($B$7:$B$18)/SQRT(COUNT($B$7:$B$18))</f>
        <v/>
      </c>
      <c r="G15" s="37">
        <f>_xlfn.STDEV.S($C$7:$C$18)/SQRT(COUNT($C$7:$C$18))</f>
        <v/>
      </c>
      <c r="H15" s="11">
        <f>IF(F15="","Not started",IF(ABS(F15-(_xlfn.STDEV.S($B$7:$B$18)/SQRT(COUNT($B$7:$B$18))))&lt;0.000001,"Correct","Check formula"))</f>
        <v/>
      </c>
      <c r="I15" s="11">
        <f>IF(G15="","Not started",IF(ABS(G15-(_xlfn.STDEV.S($C$7:$C$18)/SQRT(COUNT($C$7:$C$18))))&lt;0.000001,"Correct","Check formula"))</f>
        <v/>
      </c>
      <c r="K15" s="13" t="inlineStr">
        <is>
          <t>THE ONE THAT CATCHES EVERYONE
STDEV.S treats your data as a sample and divides by n−1.
STDEV.P treats it as the entire population and divides by n.
Twelve vessels are a sample of the batch, so STDEV.S is correct. With n = 12 the difference is about 4% of the SD — small, consistent, and wrong.
CONFIDENCE.T uses the t distribution, which is the right choice for a small sample with an estimated SD.</t>
        </is>
      </c>
    </row>
    <row r="16">
      <c r="A16" s="9" t="n">
        <v>10</v>
      </c>
      <c r="B16" s="15" t="n">
        <v>93.09999999999999</v>
      </c>
      <c r="C16" s="15" t="n">
        <v>87.8</v>
      </c>
      <c r="E16" s="36" t="inlineStr">
        <is>
          <t>95% CI half-width</t>
        </is>
      </c>
      <c r="F16" s="37">
        <f>_xlfn.CONFIDENCE.T(0.05,_xlfn.STDEV.S($B$7:$B$18),COUNT($B$7:$B$18))</f>
        <v/>
      </c>
      <c r="G16" s="37">
        <f>_xlfn.CONFIDENCE.T(0.05,_xlfn.STDEV.S($C$7:$C$18),COUNT($C$7:$C$18))</f>
        <v/>
      </c>
      <c r="H16" s="11">
        <f>IF(F16="","Not started",IF(ABS(F16-(_xlfn.CONFIDENCE.T(0.05,_xlfn.STDEV.S($B$7:$B$18),COUNT($B$7:$B$18))))&lt;0.000001,"Correct","Check formula"))</f>
        <v/>
      </c>
      <c r="I16" s="11">
        <f>IF(G16="","Not started",IF(ABS(G16-(_xlfn.CONFIDENCE.T(0.05,_xlfn.STDEV.S($C$7:$C$18),COUNT($C$7:$C$18))))&lt;0.000001,"Correct","Check formula"))</f>
        <v/>
      </c>
      <c r="K16" s="14" t="n"/>
    </row>
    <row r="17">
      <c r="A17" s="9" t="n">
        <v>11</v>
      </c>
      <c r="B17" s="15" t="n">
        <v>90.40000000000001</v>
      </c>
      <c r="C17" s="15" t="n">
        <v>92.3</v>
      </c>
      <c r="E17" s="36" t="inlineStr">
        <is>
          <t>Vessels below 85%</t>
        </is>
      </c>
      <c r="F17" s="17">
        <f>COUNTIF($B$7:$B$18,"&lt;85")</f>
        <v/>
      </c>
      <c r="G17" s="17">
        <f>COUNTIF($C$7:$C$18,"&lt;85")</f>
        <v/>
      </c>
      <c r="H17" s="11">
        <f>IF(F17="","Not started",IF(ABS(F17-(COUNTIF($B$7:$B$18,"&lt;85")))&lt;0.000001,"Correct","Check formula"))</f>
        <v/>
      </c>
      <c r="I17" s="11">
        <f>IF(G17="","Not started",IF(ABS(G17-(COUNTIF($C$7:$C$18,"&lt;85")))&lt;0.000001,"Correct","Check formula"))</f>
        <v/>
      </c>
      <c r="K17" s="14" t="n"/>
    </row>
    <row r="18">
      <c r="A18" s="9" t="n">
        <v>12</v>
      </c>
      <c r="B18" s="15" t="n">
        <v>95.8</v>
      </c>
      <c r="C18" s="15" t="n">
        <v>85.09999999999999</v>
      </c>
      <c r="K18" s="14" t="n"/>
    </row>
    <row r="19">
      <c r="E19" s="36" t="inlineStr">
        <is>
          <t>Reported mean ± 95% CI (2601)</t>
        </is>
      </c>
      <c r="F19" s="19">
        <f>TEXT(F8,"0.0")&amp;" ± "&amp;TEXT(F16,"0.0")&amp;" %"</f>
        <v/>
      </c>
      <c r="H19" s="41" t="inlineStr">
        <is>
          <t>Manual check — it should read about 93.3 ± 1.2 %</t>
        </is>
      </c>
      <c r="I19" s="35" t="n"/>
      <c r="K19" s="14" t="n"/>
    </row>
    <row r="20">
      <c r="K20" s="14" t="n"/>
    </row>
    <row r="21">
      <c r="E21" s="36" t="inlineStr">
        <is>
          <t>Which batch would you release, and on what evidence?</t>
        </is>
      </c>
      <c r="F21" s="34" t="n"/>
      <c r="G21" s="34" t="n"/>
      <c r="H21" s="34" t="n"/>
      <c r="I21" s="35" t="n"/>
      <c r="K21" s="14" t="n"/>
    </row>
    <row r="22" ht="30" customHeight="1">
      <c r="E22" s="42" t="inlineStr">
        <is>
          <t>PT-2601: every vessel is above 85% and the %RSD is about 2%. PT-2602 has two vessels below 85% and roughly twice the spread.</t>
        </is>
      </c>
      <c r="F22" s="43" t="n"/>
      <c r="G22" s="43" t="n"/>
      <c r="H22" s="43" t="n"/>
      <c r="I22" s="44" t="n"/>
      <c r="K22" s="14" t="n"/>
    </row>
    <row r="23">
      <c r="E23" s="45" t="n"/>
      <c r="F23" s="46" t="n"/>
      <c r="G23" s="46" t="n"/>
      <c r="H23" s="46" t="n"/>
      <c r="I23" s="47" t="n"/>
      <c r="K23" s="14" t="n"/>
    </row>
    <row r="24">
      <c r="K24" s="14" t="n"/>
    </row>
    <row r="25">
      <c r="K25" s="16" t="n"/>
    </row>
  </sheetData>
  <mergeCells count="5">
    <mergeCell ref="K5:K13"/>
    <mergeCell ref="K15:K25"/>
    <mergeCell ref="E21:I21"/>
    <mergeCell ref="E22:I23"/>
    <mergeCell ref="H19:I19"/>
  </mergeCells>
  <pageMargins left="0.75" right="0.75" top="1" bottom="1" header="0.5" footer="0.5"/>
</worksheet>
</file>

<file path=xl/worksheets/sheet7.xml><?xml version="1.0" encoding="utf-8"?>
<worksheet xmlns="http://schemas.openxmlformats.org/spreadsheetml/2006/main">
  <sheetPr>
    <tabColor rgb="00ED1C24"/>
    <outlinePr summaryBelow="1" summaryRight="1"/>
    <pageSetUpPr/>
  </sheetPr>
  <dimension ref="A1:J29"/>
  <sheetViews>
    <sheetView showGridLines="0" workbookViewId="0">
      <selection activeCell="A1" sqref="A1"/>
    </sheetView>
  </sheetViews>
  <sheetFormatPr baseColWidth="8" defaultRowHeight="15"/>
  <cols>
    <col width="22" customWidth="1" min="1" max="1"/>
    <col width="18" customWidth="1" min="2" max="2"/>
    <col width="22" customWidth="1" min="3" max="3"/>
    <col width="3" customWidth="1" min="4" max="4"/>
    <col width="30" customWidth="1" min="5" max="5"/>
    <col width="16" customWidth="1" min="6" max="6"/>
    <col width="30" customWidth="1" min="7" max="7"/>
    <col width="34" customWidth="1" min="8" max="8"/>
    <col width="3" customWidth="1" min="9" max="9"/>
    <col width="46" customWidth="1" min="10" max="10"/>
  </cols>
  <sheetData>
    <row r="1">
      <c r="A1" s="1" t="inlineStr">
        <is>
          <t>Task 6 — Calibration and back-calculation</t>
        </is>
      </c>
    </row>
    <row r="2">
      <c r="A2" s="2" t="inlineStr">
        <is>
          <t>HPLC assay of paracetamol tablets. Six standards, one sample, one answer that has to be defensible.</t>
        </is>
      </c>
    </row>
    <row r="3">
      <c r="A3" s="12" t="inlineStr">
        <is>
          <t>Revise first: Section 11 (Regression and calibration)</t>
        </is>
      </c>
    </row>
    <row r="5">
      <c r="A5" s="5" t="inlineStr">
        <is>
          <t>Standards</t>
        </is>
      </c>
      <c r="E5" s="5" t="inlineStr">
        <is>
          <t>Fit the line</t>
        </is>
      </c>
      <c r="J5" s="13" t="inlineStr">
        <is>
          <t>READ THIS FIRST
A calibration line converts a peak area into a concentration. Everything downstream — the assay result, the release decision — rests on it. Excel will happily fit a straight line through anything, so the numbers that matter are the ones that tell you whether the line deserves your trust.</t>
        </is>
      </c>
    </row>
    <row r="6" ht="30" customHeight="1">
      <c r="A6" s="6" t="inlineStr">
        <is>
          <t>Concentration (µg/mL)</t>
        </is>
      </c>
      <c r="B6" s="6" t="inlineStr">
        <is>
          <t>Peak area (mAU·s)</t>
        </is>
      </c>
      <c r="C6" s="6" t="inlineStr">
        <is>
          <t>Fitted area EDIT</t>
        </is>
      </c>
      <c r="E6" s="6" t="inlineStr">
        <is>
          <t>Quantity</t>
        </is>
      </c>
      <c r="F6" s="6" t="inlineStr">
        <is>
          <t>Your formula EDIT</t>
        </is>
      </c>
      <c r="G6" s="6" t="inlineStr">
        <is>
          <t>Check</t>
        </is>
      </c>
      <c r="H6" s="6" t="inlineStr">
        <is>
          <t>What it tells you</t>
        </is>
      </c>
      <c r="J6" s="14" t="n"/>
    </row>
    <row r="7">
      <c r="A7" s="38" t="n">
        <v>2</v>
      </c>
      <c r="B7" s="15" t="n">
        <v>53.5</v>
      </c>
      <c r="C7" s="33">
        <f>$F$7*A7+$F$8</f>
        <v/>
      </c>
      <c r="E7" s="36" t="inlineStr">
        <is>
          <t>Slope (mAU·s per µg/mL)</t>
        </is>
      </c>
      <c r="F7" s="48">
        <f>SLOPE($B$7:$B$12,$A$7:$A$12)</f>
        <v/>
      </c>
      <c r="G7" s="11">
        <f>IF(F7="","Not started",IF(ABS(F7-(SLOPE($B$7:$B$12,$A$7:$A$12)))&lt;0.0000001,"Correct","Check formula"))</f>
        <v/>
      </c>
      <c r="H7" s="49" t="inlineStr">
        <is>
          <t>Sensitivity of the method</t>
        </is>
      </c>
      <c r="J7" s="14" t="n"/>
    </row>
    <row r="8">
      <c r="A8" s="38" t="n">
        <v>5</v>
      </c>
      <c r="B8" s="15" t="n">
        <v>129.7</v>
      </c>
      <c r="C8" s="33">
        <f>$F$7*A8+$F$8</f>
        <v/>
      </c>
      <c r="E8" s="36" t="inlineStr">
        <is>
          <t>Intercept (mAU·s)</t>
        </is>
      </c>
      <c r="F8" s="48">
        <f>INTERCEPT($B$7:$B$12,$A$7:$A$12)</f>
        <v/>
      </c>
      <c r="G8" s="11">
        <f>IF(F8="","Not started",IF(ABS(F8-(INTERCEPT($B$7:$B$12,$A$7:$A$12)))&lt;0.0000001,"Correct","Check formula"))</f>
        <v/>
      </c>
      <c r="H8" s="49" t="inlineStr">
        <is>
          <t>Response predicted at zero concentration</t>
        </is>
      </c>
      <c r="J8" s="14" t="n"/>
    </row>
    <row r="9">
      <c r="A9" s="38" t="n">
        <v>10</v>
      </c>
      <c r="B9" s="15" t="n">
        <v>259.4</v>
      </c>
      <c r="C9" s="33">
        <f>$F$7*A9+$F$8</f>
        <v/>
      </c>
      <c r="E9" s="36" t="inlineStr">
        <is>
          <t>R²</t>
        </is>
      </c>
      <c r="F9" s="50">
        <f>RSQ($B$7:$B$12,$A$7:$A$12)</f>
        <v/>
      </c>
      <c r="G9" s="11">
        <f>IF(F9="","Not started",IF(ABS(F9-(RSQ($B$7:$B$12,$A$7:$A$12)))&lt;0.0000001,"Correct","Check formula"))</f>
        <v/>
      </c>
      <c r="H9" s="49" t="inlineStr">
        <is>
          <t>Proportion of variation the line explains</t>
        </is>
      </c>
      <c r="J9" s="14" t="n"/>
    </row>
    <row r="10">
      <c r="A10" s="38" t="n">
        <v>20</v>
      </c>
      <c r="B10" s="15" t="n">
        <v>512.8</v>
      </c>
      <c r="C10" s="33">
        <f>$F$7*A10+$F$8</f>
        <v/>
      </c>
      <c r="E10" s="36" t="inlineStr">
        <is>
          <t>Standard error of the fit</t>
        </is>
      </c>
      <c r="F10" s="48">
        <f>STEYX($B$7:$B$12,$A$7:$A$12)</f>
        <v/>
      </c>
      <c r="G10" s="11">
        <f>IF(F10="","Not started",IF(ABS(F10-(STEYX($B$7:$B$12,$A$7:$A$12)))&lt;0.0000001,"Correct","Check formula"))</f>
        <v/>
      </c>
      <c r="H10" s="49" t="inlineStr">
        <is>
          <t>Typical distance of a point from the line</t>
        </is>
      </c>
      <c r="J10" s="14" t="n"/>
    </row>
    <row r="11">
      <c r="A11" s="38" t="n">
        <v>50</v>
      </c>
      <c r="B11" s="15" t="n">
        <v>1284.6</v>
      </c>
      <c r="C11" s="33">
        <f>$F$7*A11+$F$8</f>
        <v/>
      </c>
      <c r="J11" s="14" t="n"/>
    </row>
    <row r="12">
      <c r="A12" s="38" t="n">
        <v>100</v>
      </c>
      <c r="B12" s="15" t="n">
        <v>2560.3</v>
      </c>
      <c r="C12" s="33">
        <f>$F$7*A12+$F$8</f>
        <v/>
      </c>
      <c r="E12" s="36" t="inlineStr">
        <is>
          <t>Equation of the line</t>
        </is>
      </c>
      <c r="F12" s="51">
        <f>IF(OR(F7="",F8=""),"Complete slope and intercept first","y = "&amp;TEXT(F7,"0.0000")&amp;"x + "&amp;TEXT(F8,"0.0000"))</f>
        <v/>
      </c>
      <c r="G12" s="34" t="n"/>
      <c r="H12" s="35" t="n"/>
      <c r="J12" s="16" t="n"/>
    </row>
    <row r="14">
      <c r="A14" s="13" t="inlineStr">
        <is>
          <t>Fill C7:C12 once slope and intercept are in place — you will plot this as the fitted line in Task 7.</t>
        </is>
      </c>
      <c r="B14" s="20" t="n"/>
      <c r="C14" s="21" t="n"/>
      <c r="E14" s="5" t="inlineStr">
        <is>
          <t>Back-calculate the sample</t>
        </is>
      </c>
      <c r="J14" s="13" t="inlineStr">
        <is>
          <t>WHAT R² DOES NOT TELL YOU
An R² of 0.999 says the points sit close to a straight line. It does not say the line is accurate, that the method is specific, or that a result outside the calibrated range means anything. The standards here run 2 to 100 µg/mL; a sample reading 180 µg/mL must be diluted and re-injected, not extrapolated.
A large intercept relative to the standards is a warning sign — baseline drift, a co-eluting peak, or a blank that is not blank.</t>
        </is>
      </c>
    </row>
    <row r="15" ht="30" customHeight="1">
      <c r="A15" s="24" t="n"/>
      <c r="B15" s="25" t="n"/>
      <c r="C15" s="26" t="n"/>
      <c r="E15" s="6" t="inlineStr">
        <is>
          <t>Step</t>
        </is>
      </c>
      <c r="F15" s="6" t="inlineStr">
        <is>
          <t>Value EDIT</t>
        </is>
      </c>
      <c r="G15" s="6" t="inlineStr">
        <is>
          <t>Check</t>
        </is>
      </c>
      <c r="H15" s="6" t="inlineStr">
        <is>
          <t>Notes</t>
        </is>
      </c>
      <c r="J15" s="14" t="n"/>
    </row>
    <row r="16">
      <c r="E16" s="36" t="inlineStr">
        <is>
          <t>Sample peak area (mAU·s)</t>
        </is>
      </c>
      <c r="F16" s="52" t="n">
        <v>1271.9</v>
      </c>
      <c r="H16" s="49" t="inlineStr">
        <is>
          <t>Given — one tablet to 500 mL, then 5 mL to 100 mL</t>
        </is>
      </c>
      <c r="J16" s="14" t="n"/>
    </row>
    <row r="17">
      <c r="E17" s="36" t="inlineStr">
        <is>
          <t>Concentration injected (µg/mL)</t>
        </is>
      </c>
      <c r="F17" s="37">
        <f>($F$16-$F$8)/$F$7</f>
        <v/>
      </c>
      <c r="G17" s="11">
        <f>IF(F17="","Not started",IF(ABS(F17-(($F$16-$F$8)/$F$7))&lt;0.00001,"Correct","Check formula"))</f>
        <v/>
      </c>
      <c r="H17" s="49" t="inlineStr">
        <is>
          <t>Rearrange y = mx + c</t>
        </is>
      </c>
      <c r="J17" s="14" t="n"/>
    </row>
    <row r="18">
      <c r="E18" s="36" t="inlineStr">
        <is>
          <t>Concentration in stock (µg/mL)</t>
        </is>
      </c>
      <c r="F18" s="37">
        <f>(($F$16-$F$8)/$F$7)*20</f>
        <v/>
      </c>
      <c r="G18" s="11">
        <f>IF(F18="","Not started",IF(ABS(F18-((($F$16-$F$8)/$F$7)*20))&lt;0.00001,"Correct","Check formula"))</f>
        <v/>
      </c>
      <c r="H18" s="49" t="inlineStr">
        <is>
          <t>Dilution factor 20</t>
        </is>
      </c>
      <c r="J18" s="14" t="n"/>
    </row>
    <row r="19">
      <c r="E19" s="36" t="inlineStr">
        <is>
          <t>Paracetamol per tablet (mg)</t>
        </is>
      </c>
      <c r="F19" s="18">
        <f>((($F$16-$F$8)/$F$7)*20)*500/1000</f>
        <v/>
      </c>
      <c r="G19" s="11">
        <f>IF(F19="","Not started",IF(ABS(F19-(((($F$16-$F$8)/$F$7)*20)*500/1000))&lt;0.00001,"Correct","Check formula"))</f>
        <v/>
      </c>
      <c r="H19" s="49" t="inlineStr">
        <is>
          <t>500 mL, µg to mg</t>
        </is>
      </c>
      <c r="J19" s="14" t="n"/>
    </row>
    <row r="20">
      <c r="E20" s="36" t="inlineStr">
        <is>
          <t>Assay (% of label claim)</t>
        </is>
      </c>
      <c r="F20" s="29">
        <f>(((($F$16-$F$8)/$F$7)*20)*500/1000)/500</f>
        <v/>
      </c>
      <c r="G20" s="11">
        <f>IF(F20="","Not started",IF(ABS(F20-((((($F$16-$F$8)/$F$7)*20)*500/1000)/500))&lt;0.00001,"Correct","Check formula"))</f>
        <v/>
      </c>
      <c r="H20" s="49" t="inlineStr">
        <is>
          <t>Label claim 500 mg</t>
        </is>
      </c>
      <c r="J20" s="14" t="n"/>
    </row>
    <row r="21">
      <c r="J21" s="14" t="n"/>
    </row>
    <row r="22">
      <c r="E22" s="5" t="inlineStr">
        <is>
          <t>Limits of detection and quantitation</t>
        </is>
      </c>
      <c r="J22" s="14" t="n"/>
    </row>
    <row r="23" ht="30" customHeight="1">
      <c r="E23" s="6" t="inlineStr">
        <is>
          <t>Quantity</t>
        </is>
      </c>
      <c r="F23" s="6" t="inlineStr">
        <is>
          <t>Value EDIT</t>
        </is>
      </c>
      <c r="G23" s="6" t="inlineStr">
        <is>
          <t>Check</t>
        </is>
      </c>
      <c r="H23" s="6" t="inlineStr">
        <is>
          <t>Notes</t>
        </is>
      </c>
      <c r="J23" s="14" t="n"/>
    </row>
    <row r="24">
      <c r="E24" s="36" t="inlineStr">
        <is>
          <t>LOD (µg/mL)</t>
        </is>
      </c>
      <c r="F24" s="37">
        <f>3.3*$F$10/$F$7</f>
        <v/>
      </c>
      <c r="G24" s="11">
        <f>IF(F24="","Not started",IF(ABS(F24-(3.3*$F$10/$F$7))&lt;0.00001,"Correct","Check formula"))</f>
        <v/>
      </c>
      <c r="H24" s="49" t="inlineStr">
        <is>
          <t>3.3 × standard error of the fit ÷ slope</t>
        </is>
      </c>
      <c r="J24" s="14" t="n"/>
    </row>
    <row r="25">
      <c r="E25" s="36" t="inlineStr">
        <is>
          <t>LOQ (µg/mL)</t>
        </is>
      </c>
      <c r="F25" s="37">
        <f>10*$F$10/$F$7</f>
        <v/>
      </c>
      <c r="G25" s="11">
        <f>IF(F25="","Not started",IF(ABS(F25-(10*$F$10/$F$7))&lt;0.00001,"Correct","Check formula"))</f>
        <v/>
      </c>
      <c r="H25" s="49" t="inlineStr">
        <is>
          <t>10 × standard error of the fit ÷ slope</t>
        </is>
      </c>
      <c r="J25" s="14" t="n"/>
    </row>
    <row r="26">
      <c r="J26" s="16" t="n"/>
    </row>
    <row r="27">
      <c r="E27" s="13" t="inlineStr">
        <is>
          <t>LOD and LOQ can be estimated several ways. The ICH Q2 approach used here takes the residual standard deviation of the regression as the estimate of the blank noise. Other approaches use the standard deviation of the intercept, or replicate blank measurements, and give different numbers.</t>
        </is>
      </c>
      <c r="F27" s="20" t="n"/>
      <c r="G27" s="20" t="n"/>
      <c r="H27" s="21" t="n"/>
    </row>
    <row r="28">
      <c r="E28" s="22" t="n"/>
      <c r="H28" s="23" t="n"/>
    </row>
    <row r="29">
      <c r="E29" s="24" t="n"/>
      <c r="F29" s="25" t="n"/>
      <c r="G29" s="25" t="n"/>
      <c r="H29" s="26" t="n"/>
    </row>
  </sheetData>
  <mergeCells count="5">
    <mergeCell ref="E27:H29"/>
    <mergeCell ref="A14:C15"/>
    <mergeCell ref="J14:J26"/>
    <mergeCell ref="F12:H12"/>
    <mergeCell ref="J5:J12"/>
  </mergeCells>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tabColor rgb="00ED1C24"/>
    <outlinePr summaryBelow="1" summaryRight="1"/>
    <pageSetUpPr/>
  </sheetPr>
  <dimension ref="A1:K40"/>
  <sheetViews>
    <sheetView showGridLines="0" workbookViewId="0">
      <selection activeCell="A1" sqref="A1"/>
    </sheetView>
  </sheetViews>
  <sheetFormatPr baseColWidth="8" defaultRowHeight="15"/>
  <cols>
    <col width="16" customWidth="1" min="1" max="1"/>
    <col width="16" customWidth="1" min="2" max="2"/>
    <col width="16" customWidth="1" min="3" max="3"/>
    <col width="16" customWidth="1" min="4" max="4"/>
    <col width="16" customWidth="1" min="5" max="5"/>
    <col width="3" customWidth="1" min="6" max="6"/>
    <col width="34" customWidth="1" min="7" max="7"/>
    <col width="18" customWidth="1" min="8" max="8"/>
    <col width="26" customWidth="1" min="9" max="9"/>
    <col width="3" customWidth="1" min="10" max="10"/>
    <col width="46" customWidth="1" min="11" max="11"/>
  </cols>
  <sheetData>
    <row r="1">
      <c r="A1" s="1" t="inlineStr">
        <is>
          <t>Task 7 — Building and judging charts</t>
        </is>
      </c>
    </row>
    <row r="2">
      <c r="A2" s="2" t="inlineStr">
        <is>
          <t>A calibration plot with its fitted line, and a dissolution profile with error bars.</t>
        </is>
      </c>
    </row>
    <row r="3">
      <c r="A3" s="12" t="inlineStr">
        <is>
          <t>Revise first: Section 12 (Charts: building them and judging them)</t>
        </is>
      </c>
    </row>
    <row r="5">
      <c r="A5" s="5" t="inlineStr">
        <is>
          <t>Dissolution profile data</t>
        </is>
      </c>
      <c r="G5" s="5" t="inlineStr">
        <is>
          <t>Chart B — dissolution profile with error bars</t>
        </is>
      </c>
      <c r="K5" s="13" t="inlineStr">
        <is>
          <t>READ THIS FIRST
A chart is an argument, not decoration. The default Excel chart is rarely the one you want: it often has no axis titles, no units, a legend for a single series, and a scale chosen to flatter. Every fix in this task is one you will make again in your dissertation.</t>
        </is>
      </c>
    </row>
    <row r="6" ht="26" customHeight="1">
      <c r="A6" s="6" t="inlineStr">
        <is>
          <t>Time (min)</t>
        </is>
      </c>
      <c r="B6" s="6" t="inlineStr">
        <is>
          <t>PT-2601 mean (%)</t>
        </is>
      </c>
      <c r="C6" s="6" t="inlineStr">
        <is>
          <t>PT-2601 SD (%)</t>
        </is>
      </c>
      <c r="D6" s="6" t="inlineStr">
        <is>
          <t>PT-2602 mean (%)</t>
        </is>
      </c>
      <c r="E6" s="6" t="inlineStr">
        <is>
          <t>PT-2602 SD (%)</t>
        </is>
      </c>
      <c r="G6" s="8" t="inlineStr">
        <is>
          <t>1. Select A6:A14, then Ctrl/⌘-select B6:B14 and D6:D14.</t>
        </is>
      </c>
      <c r="K6" s="14" t="n"/>
    </row>
    <row r="7" ht="26" customHeight="1">
      <c r="A7" s="38" t="n">
        <v>0</v>
      </c>
      <c r="B7" s="15" t="n">
        <v>0</v>
      </c>
      <c r="C7" s="15" t="n">
        <v>0</v>
      </c>
      <c r="D7" s="15" t="n">
        <v>0</v>
      </c>
      <c r="E7" s="15" t="n">
        <v>0</v>
      </c>
      <c r="G7" s="8" t="inlineStr">
        <is>
          <t>2. Insert &gt; Chart &gt; Scatter with Straight Lines and Markers.</t>
        </is>
      </c>
      <c r="K7" s="14" t="n"/>
    </row>
    <row r="8" ht="26" customHeight="1">
      <c r="A8" s="38" t="n">
        <v>5</v>
      </c>
      <c r="B8" s="15" t="n">
        <v>21.4</v>
      </c>
      <c r="C8" s="15" t="n">
        <v>3.1</v>
      </c>
      <c r="D8" s="15" t="n">
        <v>14.2</v>
      </c>
      <c r="E8" s="15" t="n">
        <v>4.8</v>
      </c>
      <c r="G8" s="8" t="inlineStr">
        <is>
          <t>3. Chart Design &gt; Add Chart Element &gt; Error Bars &gt; More Options.</t>
        </is>
      </c>
      <c r="K8" s="14" t="n"/>
    </row>
    <row r="9" ht="26" customHeight="1">
      <c r="A9" s="38" t="n">
        <v>10</v>
      </c>
      <c r="B9" s="15" t="n">
        <v>43.8</v>
      </c>
      <c r="C9" s="15" t="n">
        <v>3.6</v>
      </c>
      <c r="D9" s="15" t="n">
        <v>31.6</v>
      </c>
      <c r="E9" s="15" t="n">
        <v>5.5</v>
      </c>
      <c r="G9" s="8" t="inlineStr">
        <is>
          <t>4. For each series choose Custom, and set both + and − to that batch's SD column (C or E).</t>
        </is>
      </c>
      <c r="K9" s="14" t="n"/>
    </row>
    <row r="10" ht="26" customHeight="1">
      <c r="A10" s="38" t="n">
        <v>15</v>
      </c>
      <c r="B10" s="15" t="n">
        <v>61.2</v>
      </c>
      <c r="C10" s="15" t="n">
        <v>3.3</v>
      </c>
      <c r="D10" s="15" t="n">
        <v>47.9</v>
      </c>
      <c r="E10" s="15" t="n">
        <v>5.2</v>
      </c>
      <c r="G10" s="8" t="inlineStr">
        <is>
          <t>5. Chart title: Dissolution profile, paracetamol 500 mg tablets.</t>
        </is>
      </c>
      <c r="K10" s="14" t="n"/>
    </row>
    <row r="11" ht="26" customHeight="1">
      <c r="A11" s="38" t="n">
        <v>20</v>
      </c>
      <c r="B11" s="15" t="n">
        <v>74.5</v>
      </c>
      <c r="C11" s="15" t="n">
        <v>2.9</v>
      </c>
      <c r="D11" s="15" t="n">
        <v>62.3</v>
      </c>
      <c r="E11" s="15" t="n">
        <v>4.9</v>
      </c>
      <c r="G11" s="8" t="inlineStr">
        <is>
          <t>6. Axis titles: Time (min) and Cumulative release (% of label claim).</t>
        </is>
      </c>
      <c r="K11" s="14" t="n"/>
    </row>
    <row r="12" ht="26" customHeight="1">
      <c r="A12" s="38" t="n">
        <v>30</v>
      </c>
      <c r="B12" s="15" t="n">
        <v>87.59999999999999</v>
      </c>
      <c r="C12" s="15" t="n">
        <v>2.4</v>
      </c>
      <c r="D12" s="15" t="n">
        <v>79.40000000000001</v>
      </c>
      <c r="E12" s="15" t="n">
        <v>4.3</v>
      </c>
      <c r="G12" s="8" t="inlineStr">
        <is>
          <t>7. Set the y axis from 0 to 100. Do not let Excel truncate it.</t>
        </is>
      </c>
      <c r="K12" s="16" t="n"/>
    </row>
    <row r="13">
      <c r="A13" s="38" t="n">
        <v>45</v>
      </c>
      <c r="B13" s="15" t="n">
        <v>93.3</v>
      </c>
      <c r="C13" s="15" t="n">
        <v>1.9</v>
      </c>
      <c r="D13" s="15" t="n">
        <v>88.8</v>
      </c>
      <c r="E13" s="15" t="n">
        <v>3.7</v>
      </c>
    </row>
    <row r="14">
      <c r="A14" s="38" t="n">
        <v>60</v>
      </c>
      <c r="B14" s="15" t="n">
        <v>96.09999999999999</v>
      </c>
      <c r="C14" s="15" t="n">
        <v>1.6</v>
      </c>
      <c r="D14" s="15" t="n">
        <v>92.5</v>
      </c>
      <c r="E14" s="15" t="n">
        <v>3.2</v>
      </c>
      <c r="G14" s="53" t="inlineStr">
        <is>
          <t>Place your dissolution chart here</t>
        </is>
      </c>
      <c r="H14" s="20" t="n"/>
      <c r="I14" s="21" t="n"/>
      <c r="K14" s="13" t="inlineStr">
        <is>
          <t>VISUAL CHECKLIST — score your own charts
· Both axes titled, with units in brackets.
· The title says what the reader is looking at.
· No legend on a single-series chart.
· y axis starts at zero, or the truncation is deliberate and obvious.
· Error bars are defined in the caption — SD, SEM or CI are not interchangeable.
· Meaning survives in greyscale; colour is never the only cue.
· No 3-D effect, no drop shadow, no gradient fill.
· Gridlines are faint or absent.</t>
        </is>
      </c>
    </row>
    <row r="15">
      <c r="G15" s="22" t="n"/>
      <c r="I15" s="23" t="n"/>
      <c r="K15" s="14" t="n"/>
    </row>
    <row r="16">
      <c r="G16" s="22" t="n"/>
      <c r="I16" s="23" t="n"/>
      <c r="K16" s="14" t="n"/>
    </row>
    <row r="17" ht="26" customHeight="1">
      <c r="A17" s="8" t="inlineStr">
        <is>
          <t>1. Select A6:B12 on T6 Calibration.</t>
        </is>
      </c>
      <c r="G17" s="22" t="n"/>
      <c r="I17" s="23" t="n"/>
      <c r="K17" s="14" t="n"/>
    </row>
    <row r="18" ht="26" customHeight="1">
      <c r="A18" s="8" t="inlineStr">
        <is>
          <t>2. Insert &gt; Chart &gt; Scatter (markers only).</t>
        </is>
      </c>
      <c r="G18" s="22" t="n"/>
      <c r="I18" s="23" t="n"/>
      <c r="K18" s="14" t="n"/>
    </row>
    <row r="19" ht="26" customHeight="1">
      <c r="A19" s="8" t="inlineStr">
        <is>
          <t>3. Right-click the chart &gt; Select Data &gt; Add, and add T6 column C as a second series against the same x values.</t>
        </is>
      </c>
      <c r="G19" s="22" t="n"/>
      <c r="I19" s="23" t="n"/>
      <c r="K19" s="14" t="n"/>
    </row>
    <row r="20" ht="26" customHeight="1">
      <c r="A20" s="8" t="inlineStr">
        <is>
          <t>4. Change that second series to Line with no markers — it is the fitted line.</t>
        </is>
      </c>
      <c r="G20" s="22" t="n"/>
      <c r="I20" s="23" t="n"/>
      <c r="K20" s="14" t="n"/>
    </row>
    <row r="21" ht="26" customHeight="1">
      <c r="A21" s="8" t="inlineStr">
        <is>
          <t>5. Chart title: Calibration of paracetamol by HPLC, 2–100 µg/mL.</t>
        </is>
      </c>
      <c r="G21" s="22" t="n"/>
      <c r="I21" s="23" t="n"/>
      <c r="K21" s="14" t="n"/>
    </row>
    <row r="22" ht="26" customHeight="1">
      <c r="A22" s="8" t="inlineStr">
        <is>
          <t>6. Axis titles: Concentration (µg/mL) and Peak area (mAU·s).</t>
        </is>
      </c>
      <c r="G22" s="22" t="n"/>
      <c r="I22" s="23" t="n"/>
      <c r="K22" s="14" t="n"/>
    </row>
    <row r="23" ht="26" customHeight="1">
      <c r="A23" s="8" t="inlineStr">
        <is>
          <t>7. Keep the legend — you have two series, so it earns its place.</t>
        </is>
      </c>
      <c r="G23" s="22" t="n"/>
      <c r="I23" s="23" t="n"/>
      <c r="K23" s="14" t="n"/>
    </row>
    <row r="24">
      <c r="G24" s="22" t="n"/>
      <c r="I24" s="23" t="n"/>
      <c r="K24" s="14" t="n"/>
    </row>
    <row r="25">
      <c r="A25" s="53" t="inlineStr">
        <is>
          <t>Place your calibration chart here</t>
        </is>
      </c>
      <c r="B25" s="20" t="n"/>
      <c r="C25" s="20" t="n"/>
      <c r="D25" s="20" t="n"/>
      <c r="E25" s="21" t="n"/>
      <c r="G25" s="22" t="n"/>
      <c r="I25" s="23" t="n"/>
      <c r="K25" s="14" t="n"/>
    </row>
    <row r="26">
      <c r="A26" s="22" t="n"/>
      <c r="E26" s="23" t="n"/>
      <c r="G26" s="22" t="n"/>
      <c r="I26" s="23" t="n"/>
      <c r="K26" s="14" t="n"/>
    </row>
    <row r="27">
      <c r="A27" s="22" t="n"/>
      <c r="E27" s="23" t="n"/>
      <c r="G27" s="22" t="n"/>
      <c r="I27" s="23" t="n"/>
      <c r="K27" s="14" t="n"/>
    </row>
    <row r="28">
      <c r="A28" s="22" t="n"/>
      <c r="E28" s="23" t="n"/>
      <c r="G28" s="24" t="n"/>
      <c r="H28" s="25" t="n"/>
      <c r="I28" s="26" t="n"/>
      <c r="K28" s="16" t="n"/>
    </row>
    <row r="29">
      <c r="A29" s="22" t="n"/>
      <c r="E29" s="23" t="n"/>
    </row>
    <row r="30">
      <c r="A30" s="22" t="n"/>
      <c r="E30" s="23" t="n"/>
      <c r="G30" s="5" t="inlineStr">
        <is>
          <t>Chart choice — which type, and why?</t>
        </is>
      </c>
    </row>
    <row r="31" ht="30" customHeight="1">
      <c r="A31" s="22" t="n"/>
      <c r="E31" s="23" t="n"/>
      <c r="G31" s="6" t="inlineStr">
        <is>
          <t>Situation</t>
        </is>
      </c>
      <c r="H31" s="6" t="inlineStr">
        <is>
          <t>Your choice EDIT</t>
        </is>
      </c>
      <c r="I31" s="6" t="inlineStr">
        <is>
          <t>Check</t>
        </is>
      </c>
    </row>
    <row r="32" ht="26" customHeight="1">
      <c r="A32" s="22" t="n"/>
      <c r="E32" s="23" t="n"/>
      <c r="G32" s="11" t="inlineStr">
        <is>
          <t>Peak area against concentration for six standards</t>
        </is>
      </c>
      <c r="H32" s="19" t="inlineStr">
        <is>
          <t>Scatter</t>
        </is>
      </c>
      <c r="I32" s="11">
        <f>IF(H32="","Not started",IF(EXACT(UPPER(TRIM(H32)),UPPER("Scatter")),"Correct","Check answer"))</f>
        <v/>
      </c>
    </row>
    <row r="33" ht="26" customHeight="1">
      <c r="A33" s="22" t="n"/>
      <c r="E33" s="23" t="n"/>
      <c r="G33" s="11" t="inlineStr">
        <is>
          <t>Mean release at 0, 5, 10, 15, 20, 30, 45 and 60 minutes</t>
        </is>
      </c>
      <c r="H33" s="19" t="inlineStr">
        <is>
          <t>Scatter</t>
        </is>
      </c>
      <c r="I33" s="11">
        <f>IF(H33="","Not started",IF(EXACT(UPPER(TRIM(H33)),UPPER("Scatter")),"Correct","Check answer"))</f>
        <v/>
      </c>
    </row>
    <row r="34" ht="26" customHeight="1">
      <c r="A34" s="22" t="n"/>
      <c r="E34" s="23" t="n"/>
      <c r="G34" s="11" t="inlineStr">
        <is>
          <t>Mean particle size for four different granulation methods</t>
        </is>
      </c>
      <c r="H34" s="19" t="inlineStr">
        <is>
          <t>Column</t>
        </is>
      </c>
      <c r="I34" s="11">
        <f>IF(H34="","Not started",IF(EXACT(UPPER(TRIM(H34)),UPPER("Column")),"Correct","Check answer"))</f>
        <v/>
      </c>
    </row>
    <row r="35" ht="26" customHeight="1">
      <c r="A35" s="22" t="n"/>
      <c r="E35" s="23" t="n"/>
      <c r="G35" s="11" t="inlineStr">
        <is>
          <t>Proportion of a batch failing for each of six defect types</t>
        </is>
      </c>
      <c r="H35" s="19" t="inlineStr">
        <is>
          <t>Column</t>
        </is>
      </c>
      <c r="I35" s="11">
        <f>IF(H35="","Not started",IF(EXACT(UPPER(TRIM(H35)),UPPER("Column")),"Correct","Check answer"))</f>
        <v/>
      </c>
    </row>
    <row r="36">
      <c r="A36" s="22" t="n"/>
      <c r="E36" s="23" t="n"/>
    </row>
    <row r="37">
      <c r="A37" s="22" t="n"/>
      <c r="E37" s="23" t="n"/>
      <c r="G37" s="13" t="inlineStr">
        <is>
          <t>Answer with one word: Scatter, Line or Column. Time in minutes is a real numeric scale with uneven gaps between readings, so a category line chart would space 45 and 60 minutes the same distance apart as 0 and 5. A pie chart is the wrong answer to the last one: comparing six slice angles is harder than comparing six bar lengths.</t>
        </is>
      </c>
      <c r="H37" s="20" t="n"/>
      <c r="I37" s="21" t="n"/>
    </row>
    <row r="38">
      <c r="A38" s="22" t="n"/>
      <c r="E38" s="23" t="n"/>
      <c r="G38" s="22" t="n"/>
      <c r="I38" s="23" t="n"/>
    </row>
    <row r="39">
      <c r="A39" s="24" t="n"/>
      <c r="B39" s="25" t="n"/>
      <c r="C39" s="25" t="n"/>
      <c r="D39" s="25" t="n"/>
      <c r="E39" s="26" t="n"/>
      <c r="G39" s="22" t="n"/>
      <c r="I39" s="23" t="n"/>
    </row>
    <row r="40">
      <c r="G40" s="24" t="n"/>
      <c r="H40" s="25" t="n"/>
      <c r="I40" s="26" t="n"/>
    </row>
  </sheetData>
  <mergeCells count="5">
    <mergeCell ref="G14:I28"/>
    <mergeCell ref="G37:I40"/>
    <mergeCell ref="A25:E39"/>
    <mergeCell ref="K14:K28"/>
    <mergeCell ref="K5:K12"/>
  </mergeCells>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tabColor rgb="00ED1C24"/>
    <outlinePr summaryBelow="1" summaryRight="1"/>
    <pageSetUpPr/>
  </sheetPr>
  <dimension ref="A1:J27"/>
  <sheetViews>
    <sheetView showGridLines="0" workbookViewId="0">
      <selection activeCell="A1" sqref="A1"/>
    </sheetView>
  </sheetViews>
  <sheetFormatPr baseColWidth="8" defaultRowHeight="15"/>
  <cols>
    <col width="9" customWidth="1" min="1" max="1"/>
    <col width="14" customWidth="1" min="2" max="2"/>
    <col width="14" customWidth="1" min="3" max="3"/>
    <col width="3" customWidth="1" min="4" max="4"/>
    <col width="34" customWidth="1" min="5" max="5"/>
    <col width="18" customWidth="1" min="6" max="6"/>
    <col width="30" customWidth="1" min="7" max="7"/>
    <col width="34" customWidth="1" min="8" max="8"/>
    <col width="3" customWidth="1" min="9" max="9"/>
    <col width="46" customWidth="1" min="10" max="10"/>
  </cols>
  <sheetData>
    <row r="1">
      <c r="A1" s="1" t="inlineStr">
        <is>
          <t>Task 8 — Comparing two batches (stretch)</t>
        </is>
      </c>
    </row>
    <row r="2">
      <c r="A2" s="2" t="inlineStr">
        <is>
          <t>Assay results, % of label claim, 10 determinations per batch.</t>
        </is>
      </c>
    </row>
    <row r="3">
      <c r="A3" s="12" t="inlineStr">
        <is>
          <t>Revise first: Section 10 (Comparing two sets of results)</t>
        </is>
      </c>
    </row>
    <row r="5">
      <c r="A5" s="5" t="inlineStr">
        <is>
          <t>The data</t>
        </is>
      </c>
      <c r="E5" s="5" t="inlineStr">
        <is>
          <t>Compare them</t>
        </is>
      </c>
      <c r="J5" s="13" t="inlineStr">
        <is>
          <t>READ THIS FIRST
A t-test asks one narrow question: if these two batches really had the same mean, how surprising would a difference this large be? It does not tell you whether the difference matters. Holding both ideas at once is the skill this task is really about.</t>
        </is>
      </c>
    </row>
    <row r="6" ht="30" customHeight="1">
      <c r="A6" s="6" t="inlineStr">
        <is>
          <t>Determination</t>
        </is>
      </c>
      <c r="B6" s="6" t="inlineStr">
        <is>
          <t>PT-2601 (%)</t>
        </is>
      </c>
      <c r="C6" s="6" t="inlineStr">
        <is>
          <t>PT-2603 (%)</t>
        </is>
      </c>
      <c r="E6" s="6" t="inlineStr">
        <is>
          <t>Quantity</t>
        </is>
      </c>
      <c r="F6" s="6" t="inlineStr">
        <is>
          <t>Your formula EDIT</t>
        </is>
      </c>
      <c r="G6" s="6" t="inlineStr">
        <is>
          <t>Check</t>
        </is>
      </c>
      <c r="H6" s="6" t="inlineStr">
        <is>
          <t>Notes</t>
        </is>
      </c>
      <c r="J6" s="14" t="n"/>
    </row>
    <row r="7">
      <c r="A7" s="9" t="n">
        <v>1</v>
      </c>
      <c r="B7" s="15" t="n">
        <v>99.2</v>
      </c>
      <c r="C7" s="15" t="n">
        <v>97.40000000000001</v>
      </c>
      <c r="E7" s="36" t="inlineStr">
        <is>
          <t>Mean PT-2601 (%)</t>
        </is>
      </c>
      <c r="F7" s="18">
        <f>AVERAGE($B$7:$B$16)</f>
        <v/>
      </c>
      <c r="G7" s="11">
        <f>IF(F7="","Not started",IF(ABS(F7-(AVERAGE($B$7:$B$16)))&lt;0.0000001,"Correct","Check formula"))</f>
        <v/>
      </c>
      <c r="H7" s="49" t="inlineStr"/>
      <c r="J7" s="14" t="n"/>
    </row>
    <row r="8">
      <c r="A8" s="9" t="n">
        <v>2</v>
      </c>
      <c r="B8" s="15" t="n">
        <v>100.8</v>
      </c>
      <c r="C8" s="15" t="n">
        <v>96.90000000000001</v>
      </c>
      <c r="E8" s="36" t="inlineStr">
        <is>
          <t>Mean PT-2603 (%)</t>
        </is>
      </c>
      <c r="F8" s="18">
        <f>AVERAGE($C$7:$C$16)</f>
        <v/>
      </c>
      <c r="G8" s="11">
        <f>IF(F8="","Not started",IF(ABS(F8-(AVERAGE($C$7:$C$16)))&lt;0.0000001,"Correct","Check formula"))</f>
        <v/>
      </c>
      <c r="H8" s="49" t="inlineStr"/>
      <c r="J8" s="14" t="n"/>
    </row>
    <row r="9">
      <c r="A9" s="9" t="n">
        <v>3</v>
      </c>
      <c r="B9" s="15" t="n">
        <v>98.59999999999999</v>
      </c>
      <c r="C9" s="15" t="n">
        <v>98.2</v>
      </c>
      <c r="E9" s="36" t="inlineStr">
        <is>
          <t>Difference in means (%)</t>
        </is>
      </c>
      <c r="F9" s="18">
        <f>AVERAGE($B$7:$B$16)-AVERAGE($C$7:$C$16)</f>
        <v/>
      </c>
      <c r="G9" s="11">
        <f>IF(F9="","Not started",IF(ABS(F9-(AVERAGE($B$7:$B$16)-AVERAGE($C$7:$C$16)))&lt;0.0000001,"Correct","Check formula"))</f>
        <v/>
      </c>
      <c r="H9" s="49" t="inlineStr">
        <is>
          <t>PT-2601 minus PT-2603</t>
        </is>
      </c>
      <c r="J9" s="14" t="n"/>
    </row>
    <row r="10">
      <c r="A10" s="9" t="n">
        <v>4</v>
      </c>
      <c r="B10" s="15" t="n">
        <v>101.3</v>
      </c>
      <c r="C10" s="15" t="n">
        <v>96.09999999999999</v>
      </c>
      <c r="E10" s="36" t="inlineStr">
        <is>
          <t>SD PT-2601 (%)</t>
        </is>
      </c>
      <c r="F10" s="37">
        <f>_xlfn.STDEV.S($B$7:$B$16)</f>
        <v/>
      </c>
      <c r="G10" s="11">
        <f>IF(F10="","Not started",IF(ABS(F10-(_xlfn.STDEV.S($B$7:$B$16)))&lt;0.0000001,"Correct","Check formula"))</f>
        <v/>
      </c>
      <c r="H10" s="49" t="inlineStr"/>
      <c r="J10" s="14" t="n"/>
    </row>
    <row r="11">
      <c r="A11" s="9" t="n">
        <v>5</v>
      </c>
      <c r="B11" s="15" t="n">
        <v>99.90000000000001</v>
      </c>
      <c r="C11" s="15" t="n">
        <v>97.8</v>
      </c>
      <c r="E11" s="36" t="inlineStr">
        <is>
          <t>SD PT-2603 (%)</t>
        </is>
      </c>
      <c r="F11" s="37">
        <f>_xlfn.STDEV.S($C$7:$C$16)</f>
        <v/>
      </c>
      <c r="G11" s="11">
        <f>IF(F11="","Not started",IF(ABS(F11-(_xlfn.STDEV.S($C$7:$C$16)))&lt;0.0000001,"Correct","Check formula"))</f>
        <v/>
      </c>
      <c r="H11" s="49" t="inlineStr"/>
      <c r="J11" s="14" t="n"/>
    </row>
    <row r="12">
      <c r="A12" s="9" t="n">
        <v>6</v>
      </c>
      <c r="B12" s="15" t="n">
        <v>100.4</v>
      </c>
      <c r="C12" s="15" t="n">
        <v>95.90000000000001</v>
      </c>
      <c r="E12" s="36" t="inlineStr">
        <is>
          <t>F-test p-value</t>
        </is>
      </c>
      <c r="F12" s="48">
        <f>_xlfn.F.TEST($B$7:$B$16,$C$7:$C$16)</f>
        <v/>
      </c>
      <c r="G12" s="11">
        <f>IF(F12="","Not started",IF(ABS(F12-(_xlfn.F.TEST($B$7:$B$16,$C$7:$C$16)))&lt;0.0000001,"Correct","Check formula"))</f>
        <v/>
      </c>
      <c r="H12" s="49" t="inlineStr">
        <is>
          <t>Are the two variances similar?</t>
        </is>
      </c>
      <c r="J12" s="16" t="n"/>
    </row>
    <row r="13">
      <c r="A13" s="9" t="n">
        <v>7</v>
      </c>
      <c r="B13" s="15" t="n">
        <v>98.09999999999999</v>
      </c>
      <c r="C13" s="15" t="n">
        <v>97.09999999999999</v>
      </c>
      <c r="E13" s="36" t="inlineStr">
        <is>
          <t>t-test p-value</t>
        </is>
      </c>
      <c r="F13" s="54">
        <f>_xlfn.T.TEST($B$7:$B$16,$C$7:$C$16,2,2)</f>
        <v/>
      </c>
      <c r="G13" s="11">
        <f>IF(F13="","Not started",IF(ABS(F13-(_xlfn.T.TEST($B$7:$B$16,$C$7:$C$16,2,2)))&lt;0.0000001,"Correct","Check formula"))</f>
        <v/>
      </c>
      <c r="H13" s="49" t="inlineStr">
        <is>
          <t>Two-tailed, two-sample, equal variances</t>
        </is>
      </c>
    </row>
    <row r="14">
      <c r="A14" s="9" t="n">
        <v>8</v>
      </c>
      <c r="B14" s="15" t="n">
        <v>100.1</v>
      </c>
      <c r="C14" s="15" t="n">
        <v>96.5</v>
      </c>
      <c r="J14" s="13" t="inlineStr">
        <is>
          <t>CHOOSING THE ARGUMENTS
=T.TEST(array1, array2, tails, type)
tails: 2 unless you have decided in advance that only one direction is of interest.
type 1 = paired, for before-and-after on the same units.
type 2 = two samples, equal variances.
type 3 = two samples, unequal variances (Welch).
F.TEST compares the two variances. Many textbooks use its p-value to pick between type 2 and type 3. Statisticians increasingly advise against that, because choosing a test from the data distorts its error rate — the simpler advice is to use type 3 (Welch) by default. This sheet asks for type 2 so that there is one answer to check against.</t>
        </is>
      </c>
    </row>
    <row r="15">
      <c r="A15" s="9" t="n">
        <v>9</v>
      </c>
      <c r="B15" s="15" t="n">
        <v>99.5</v>
      </c>
      <c r="C15" s="15" t="n">
        <v>98</v>
      </c>
      <c r="E15" s="36" t="inlineStr">
        <is>
          <t>Is the difference statistically significant at p &lt; 0.05? (Yes/No)</t>
        </is>
      </c>
      <c r="F15" s="19" t="inlineStr">
        <is>
          <t>Yes</t>
        </is>
      </c>
      <c r="G15" s="11">
        <f>IF(F15="","Not started",IF(EXACT(UPPER(TRIM(F15)),UPPER("Yes")),"Correct","Check answer"))</f>
        <v/>
      </c>
      <c r="J15" s="14" t="n"/>
    </row>
    <row r="16">
      <c r="A16" s="9" t="n">
        <v>10</v>
      </c>
      <c r="B16" s="15" t="n">
        <v>100.7</v>
      </c>
      <c r="C16" s="15" t="n">
        <v>96.8</v>
      </c>
      <c r="E16" s="36" t="inlineStr">
        <is>
          <t>Are both batch means inside a 95.0–105.0% specification? (Yes/No)</t>
        </is>
      </c>
      <c r="F16" s="19" t="inlineStr">
        <is>
          <t>Yes</t>
        </is>
      </c>
      <c r="G16" s="11">
        <f>IF(F16="","Not started",IF(EXACT(UPPER(TRIM(F16)),UPPER("Yes")),"Correct","Check answer"))</f>
        <v/>
      </c>
      <c r="J16" s="14" t="n"/>
    </row>
    <row r="17">
      <c r="E17" s="36" t="inlineStr">
        <is>
          <t>In one sentence: would you reject PT-2603?</t>
        </is>
      </c>
      <c r="J17" s="14" t="n"/>
    </row>
    <row r="18" ht="30" customHeight="1">
      <c r="E18" s="42" t="inlineStr">
        <is>
          <t>No — the difference is real but small, and both batches sit comfortably inside specification. It is worth investigating as a process trend, not as a failure.</t>
        </is>
      </c>
      <c r="F18" s="43" t="n"/>
      <c r="G18" s="43" t="n"/>
      <c r="H18" s="44" t="n"/>
      <c r="J18" s="14" t="n"/>
    </row>
    <row r="19">
      <c r="E19" s="45" t="n"/>
      <c r="F19" s="46" t="n"/>
      <c r="G19" s="46" t="n"/>
      <c r="H19" s="47" t="n"/>
      <c r="J19" s="14" t="n"/>
    </row>
    <row r="20">
      <c r="J20" s="14" t="n"/>
    </row>
    <row r="21">
      <c r="E21" s="13" t="inlineStr">
        <is>
          <t>THE POINT OF THIS TASK — with n = 10 and tight data, a difference of under 3% of label claim comes out overwhelmingly significant. Significant means detectable, not important. Increase the sample size enough and almost any difference becomes significant; report the size of the difference and its confidence interval alongside the p-value, never the p-value alone.</t>
        </is>
      </c>
      <c r="F21" s="20" t="n"/>
      <c r="G21" s="20" t="n"/>
      <c r="H21" s="21" t="n"/>
      <c r="J21" s="14" t="n"/>
    </row>
    <row r="22">
      <c r="E22" s="22" t="n"/>
      <c r="H22" s="23" t="n"/>
      <c r="J22" s="14" t="n"/>
    </row>
    <row r="23">
      <c r="E23" s="22" t="n"/>
      <c r="H23" s="23" t="n"/>
      <c r="J23" s="14" t="n"/>
    </row>
    <row r="24">
      <c r="E24" s="24" t="n"/>
      <c r="F24" s="25" t="n"/>
      <c r="G24" s="25" t="n"/>
      <c r="H24" s="26" t="n"/>
      <c r="J24" s="14" t="n"/>
    </row>
    <row r="25">
      <c r="J25" s="14" t="n"/>
    </row>
    <row r="26">
      <c r="J26" s="14" t="n"/>
    </row>
    <row r="27">
      <c r="J27" s="16" t="n"/>
    </row>
  </sheetData>
  <mergeCells count="4">
    <mergeCell ref="E18:H19"/>
    <mergeCell ref="E21:H24"/>
    <mergeCell ref="J5:J12"/>
    <mergeCell ref="J14:J27"/>
  </mergeCells>
  <pageMargins left="0.75" right="0.75" top="1" bottom="1" header="0.5" footer="0.5"/>
</worksheet>
</file>

<file path=xl/worksheets/sheet10.xml><?xml version="1.0" encoding="utf-8"?>
<worksheet xmlns="http://schemas.openxmlformats.org/spreadsheetml/2006/main">
  <sheetPr>
    <tabColor rgb="0053565A"/>
    <outlinePr summaryBelow="1" summaryRight="1"/>
    <pageSetUpPr/>
  </sheetPr>
  <dimension ref="A1:D47"/>
  <sheetViews>
    <sheetView showGridLines="0" workbookViewId="0">
      <selection activeCell="A1" sqref="A1"/>
    </sheetView>
  </sheetViews>
  <sheetFormatPr baseColWidth="8" defaultRowHeight="15"/>
  <cols>
    <col width="28" customWidth="1" min="1" max="1"/>
    <col width="46" customWidth="1" min="2" max="2"/>
    <col width="34" customWidth="1" min="3" max="3"/>
    <col width="44" customWidth="1" min="4" max="4"/>
  </cols>
  <sheetData>
    <row r="1">
      <c r="A1" s="1" t="inlineStr">
        <is>
          <t>Worked examples and formula patterns</t>
        </is>
      </c>
    </row>
    <row r="2">
      <c r="A2" s="2" t="inlineStr">
        <is>
          <t>Formula text is shown literally so you can see every reference. Adapt the ranges to your own sheet.</t>
        </is>
      </c>
    </row>
    <row r="4">
      <c r="A4" s="5" t="inlineStr">
        <is>
          <t>References and core functions</t>
        </is>
      </c>
    </row>
    <row r="5" ht="30" customHeight="1">
      <c r="A5" s="6" t="inlineStr">
        <is>
          <t>Skill</t>
        </is>
      </c>
      <c r="B5" s="6" t="inlineStr">
        <is>
          <t>Example formula</t>
        </is>
      </c>
      <c r="C5" s="6" t="inlineStr">
        <is>
          <t>What moves, what stays</t>
        </is>
      </c>
      <c r="D5" s="6" t="inlineStr">
        <is>
          <t>In plain language</t>
        </is>
      </c>
    </row>
    <row r="6">
      <c r="A6" s="36" t="inlineStr">
        <is>
          <t>Relative reference</t>
        </is>
      </c>
      <c r="B6" s="55" t="inlineStr">
        <is>
          <t>=B9-C5</t>
        </is>
      </c>
      <c r="C6" s="11" t="inlineStr">
        <is>
          <t>Both move when copied</t>
        </is>
      </c>
      <c r="D6" s="11" t="inlineStr">
        <is>
          <t>Subtract the cell five rows up — usually not what you meant</t>
        </is>
      </c>
    </row>
    <row r="7">
      <c r="A7" s="36" t="inlineStr">
        <is>
          <t>Absolute reference</t>
        </is>
      </c>
      <c r="B7" s="55" t="inlineStr">
        <is>
          <t>=B9-$C$5</t>
        </is>
      </c>
      <c r="C7" s="11" t="inlineStr">
        <is>
          <t>$C$5 stays fixed</t>
        </is>
      </c>
      <c r="D7" s="11" t="inlineStr">
        <is>
          <t>Compare every weight with the one target value</t>
        </is>
      </c>
    </row>
    <row r="8">
      <c r="A8" s="36" t="inlineStr">
        <is>
          <t>Mixed reference</t>
        </is>
      </c>
      <c r="B8" s="55" t="inlineStr">
        <is>
          <t>=$G11/H$9</t>
        </is>
      </c>
      <c r="C8" s="11" t="inlineStr">
        <is>
          <t>Column G and row 9 stay fixed</t>
        </is>
      </c>
      <c r="D8" s="11" t="inlineStr">
        <is>
          <t>Fill a two-way grid from one formula</t>
        </is>
      </c>
    </row>
    <row r="9">
      <c r="A9" s="36" t="inlineStr">
        <is>
          <t>SUM</t>
        </is>
      </c>
      <c r="B9" s="55" t="inlineStr">
        <is>
          <t>=SUM(B7:B26)</t>
        </is>
      </c>
      <c r="C9" s="11" t="inlineStr">
        <is>
          <t>Bounded range</t>
        </is>
      </c>
      <c r="D9" s="11" t="inlineStr">
        <is>
          <t>Add the values</t>
        </is>
      </c>
    </row>
    <row r="10">
      <c r="A10" s="36" t="inlineStr">
        <is>
          <t>AVERAGE</t>
        </is>
      </c>
      <c r="B10" s="55" t="inlineStr">
        <is>
          <t>=AVERAGE(B7:B18)</t>
        </is>
      </c>
      <c r="C10" s="11" t="inlineStr">
        <is>
          <t>Ignores text and blanks</t>
        </is>
      </c>
      <c r="D10" s="11" t="inlineStr">
        <is>
          <t>Arithmetic mean</t>
        </is>
      </c>
    </row>
    <row r="11">
      <c r="A11" s="36" t="inlineStr">
        <is>
          <t>COUNT vs COUNTA</t>
        </is>
      </c>
      <c r="B11" s="55" t="inlineStr">
        <is>
          <t>=COUNT(B7:B26)</t>
        </is>
      </c>
      <c r="C11" s="11" t="inlineStr">
        <is>
          <t>COUNT takes numbers only</t>
        </is>
      </c>
      <c r="D11" s="11" t="inlineStr">
        <is>
          <t>COUNT ignores text — which is how you spot a text-formatted number</t>
        </is>
      </c>
    </row>
    <row r="12">
      <c r="A12" s="36" t="inlineStr">
        <is>
          <t>COUNTIFS</t>
        </is>
      </c>
      <c r="B12" s="55" t="inlineStr">
        <is>
          <t>=COUNTIFS(B7:B16,"&gt;=85",B7:B16,"&lt;=115")</t>
        </is>
      </c>
      <c r="C12" s="11" t="inlineStr">
        <is>
          <t>Criteria in quotation marks</t>
        </is>
      </c>
      <c r="D12" s="11" t="inlineStr">
        <is>
          <t>Count results inside a window</t>
        </is>
      </c>
    </row>
    <row r="13">
      <c r="A13" s="36" t="inlineStr">
        <is>
          <t>IF with AND</t>
        </is>
      </c>
      <c r="B13" s="55" t="inlineStr">
        <is>
          <t>=IF(AND(B7&gt;=85,B7&lt;=115),"Within","Outside")</t>
        </is>
      </c>
      <c r="C13" s="11" t="inlineStr">
        <is>
          <t>One test, two outcomes</t>
        </is>
      </c>
      <c r="D13" s="11" t="inlineStr">
        <is>
          <t>Label each result</t>
        </is>
      </c>
    </row>
    <row r="14">
      <c r="A14" s="36" t="inlineStr">
        <is>
          <t>IFS</t>
        </is>
      </c>
      <c r="B14" s="55" t="inlineStr">
        <is>
          <t>=IFS(B7&lt;85,"Low",B7&gt;115,"High",TRUE,"Within")</t>
        </is>
      </c>
      <c r="C14" s="11" t="inlineStr">
        <is>
          <t>First true wins</t>
        </is>
      </c>
      <c r="D14" s="11" t="inlineStr">
        <is>
          <t>More than two outcomes without nesting</t>
        </is>
      </c>
    </row>
    <row r="15">
      <c r="A15" s="36" t="inlineStr">
        <is>
          <t>IFERROR</t>
        </is>
      </c>
      <c r="B15" s="55" t="inlineStr">
        <is>
          <t>=IFERROR(A2/B2,"")</t>
        </is>
      </c>
      <c r="C15" s="11" t="inlineStr">
        <is>
          <t>Traps the error, not the cause</t>
        </is>
      </c>
      <c r="D15" s="11" t="inlineStr">
        <is>
          <t>Use sparingly — it hides real faults too</t>
        </is>
      </c>
    </row>
    <row r="16">
      <c r="A16" s="36" t="inlineStr">
        <is>
          <t>ROUND</t>
        </is>
      </c>
      <c r="B16" s="55" t="inlineStr">
        <is>
          <t>=ROUND(B7,1)</t>
        </is>
      </c>
      <c r="C16" s="11" t="inlineStr">
        <is>
          <t>Changes the value</t>
        </is>
      </c>
      <c r="D16" s="11" t="inlineStr">
        <is>
          <t>Only when a calculation needs a rounded input</t>
        </is>
      </c>
    </row>
    <row r="19">
      <c r="A19" s="5" t="inlineStr">
        <is>
          <t>Lookup</t>
        </is>
      </c>
    </row>
    <row r="20" ht="30" customHeight="1">
      <c r="A20" s="6" t="inlineStr">
        <is>
          <t>Skill</t>
        </is>
      </c>
      <c r="B20" s="6" t="inlineStr">
        <is>
          <t>Example formula</t>
        </is>
      </c>
      <c r="C20" s="6" t="inlineStr">
        <is>
          <t>What moves, what stays</t>
        </is>
      </c>
      <c r="D20" s="6" t="inlineStr">
        <is>
          <t>In plain language</t>
        </is>
      </c>
    </row>
    <row r="21">
      <c r="A21" s="36" t="inlineStr">
        <is>
          <t>XLOOKUP exact</t>
        </is>
      </c>
      <c r="B21" s="55" t="inlineStr">
        <is>
          <t>=XLOOKUP(A19,$A$7:$A$14,$B$7:$B$14,"Not approved")</t>
        </is>
      </c>
      <c r="C21" s="11" t="inlineStr">
        <is>
          <t>Lookup and return ranges fixed</t>
        </is>
      </c>
      <c r="D21" s="11" t="inlineStr">
        <is>
          <t>Find the record for this code</t>
        </is>
      </c>
    </row>
    <row r="22">
      <c r="A22" s="36" t="inlineStr">
        <is>
          <t>XLOOKUP banded</t>
        </is>
      </c>
      <c r="B22" s="55" t="inlineStr">
        <is>
          <t>=XLOOKUP(J18,$G$8:$G$14,$H$8:$H$14,,-1)</t>
        </is>
      </c>
      <c r="C22" s="11" t="inlineStr">
        <is>
          <t>match_mode −1</t>
        </is>
      </c>
      <c r="D22" s="11" t="inlineStr">
        <is>
          <t>Which band does this number fall into</t>
        </is>
      </c>
    </row>
    <row r="23">
      <c r="A23" s="36" t="inlineStr">
        <is>
          <t>XLOOKUP from the bottom</t>
        </is>
      </c>
      <c r="B23" s="55" t="inlineStr">
        <is>
          <t>=XLOOKUP(A2,$A$7:$A$99,$B$7:$B$99,"",0,-1)</t>
        </is>
      </c>
      <c r="C23" s="11" t="inlineStr">
        <is>
          <t>search_mode −1</t>
        </is>
      </c>
      <c r="D23" s="11" t="inlineStr">
        <is>
          <t>Find the most recent matching record</t>
        </is>
      </c>
    </row>
    <row r="24">
      <c r="A24" s="36" t="inlineStr">
        <is>
          <t>INDEX/MATCH fallback</t>
        </is>
      </c>
      <c r="B24" s="55" t="inlineStr">
        <is>
          <t>=INDEX($B$7:$B$14,MATCH(A19,$A$7:$A$14,0))</t>
        </is>
      </c>
      <c r="C24" s="11" t="inlineStr">
        <is>
          <t>Works in every Excel version</t>
        </is>
      </c>
      <c r="D24" s="11" t="inlineStr">
        <is>
          <t>Use where XLOOKUP is unavailable</t>
        </is>
      </c>
    </row>
    <row r="27">
      <c r="A27" s="5" t="inlineStr">
        <is>
          <t>Statistics</t>
        </is>
      </c>
    </row>
    <row r="28" ht="30" customHeight="1">
      <c r="A28" s="6" t="inlineStr">
        <is>
          <t>Quantity</t>
        </is>
      </c>
      <c r="B28" s="6" t="inlineStr">
        <is>
          <t>Example formula</t>
        </is>
      </c>
      <c r="C28" s="6" t="inlineStr">
        <is>
          <t>Use it when</t>
        </is>
      </c>
      <c r="D28" s="6" t="inlineStr">
        <is>
          <t>Watch out for</t>
        </is>
      </c>
    </row>
    <row r="29">
      <c r="A29" s="36" t="inlineStr">
        <is>
          <t>Standard deviation</t>
        </is>
      </c>
      <c r="B29" s="55" t="inlineStr">
        <is>
          <t>=STDEV.S(B7:B18)</t>
        </is>
      </c>
      <c r="C29" s="11" t="inlineStr">
        <is>
          <t>Your data are a sample</t>
        </is>
      </c>
      <c r="D29" s="11" t="inlineStr">
        <is>
          <t>STDEV.P divides by n, not n−1</t>
        </is>
      </c>
    </row>
    <row r="30">
      <c r="A30" s="36" t="inlineStr">
        <is>
          <t>%RSD</t>
        </is>
      </c>
      <c r="B30" s="55" t="inlineStr">
        <is>
          <t>=STDEV.S(B7:B18)/AVERAGE(B7:B18)</t>
        </is>
      </c>
      <c r="C30" s="11" t="inlineStr">
        <is>
          <t>Comparing spread across different scales</t>
        </is>
      </c>
      <c r="D30" s="11" t="inlineStr">
        <is>
          <t>Format as a percentage; do not also multiply by 100</t>
        </is>
      </c>
    </row>
    <row r="31">
      <c r="A31" s="36" t="inlineStr">
        <is>
          <t>Standard error</t>
        </is>
      </c>
      <c r="B31" s="55" t="inlineStr">
        <is>
          <t>=STDEV.S(B7:B18)/SQRT(COUNT(B7:B18))</t>
        </is>
      </c>
      <c r="C31" s="11" t="inlineStr">
        <is>
          <t>Describing how precisely you know the mean</t>
        </is>
      </c>
      <c r="D31" s="11" t="inlineStr">
        <is>
          <t>SEM is not SD — say which you plotted</t>
        </is>
      </c>
    </row>
    <row r="32">
      <c r="A32" s="36" t="inlineStr">
        <is>
          <t>95% CI half-width</t>
        </is>
      </c>
      <c r="B32" s="55" t="inlineStr">
        <is>
          <t>=CONFIDENCE.T(0.05,STDEV.S(B7:B18),COUNT(B7:B18))</t>
        </is>
      </c>
      <c r="C32" s="11" t="inlineStr">
        <is>
          <t>Small samples with an estimated SD</t>
        </is>
      </c>
      <c r="D32" s="11" t="inlineStr">
        <is>
          <t>CONFIDENCE.NORM assumes a known population SD</t>
        </is>
      </c>
    </row>
    <row r="33">
      <c r="A33" s="36" t="inlineStr">
        <is>
          <t>Slope / intercept</t>
        </is>
      </c>
      <c r="B33" s="55" t="inlineStr">
        <is>
          <t>=SLOPE(B7:B12,A7:A12)</t>
        </is>
      </c>
      <c r="C33" s="11" t="inlineStr">
        <is>
          <t>Fitting a calibration line</t>
        </is>
      </c>
      <c r="D33" s="11" t="inlineStr">
        <is>
          <t>y range first, then x</t>
        </is>
      </c>
    </row>
    <row r="34">
      <c r="A34" s="36" t="inlineStr">
        <is>
          <t>R²</t>
        </is>
      </c>
      <c r="B34" s="55" t="inlineStr">
        <is>
          <t>=RSQ(B7:B12,A7:A12)</t>
        </is>
      </c>
      <c r="C34" s="11" t="inlineStr">
        <is>
          <t>Reporting closeness of fit</t>
        </is>
      </c>
      <c r="D34" s="11" t="inlineStr">
        <is>
          <t>Says nothing about accuracy or specificity</t>
        </is>
      </c>
    </row>
    <row r="35">
      <c r="A35" s="36" t="inlineStr">
        <is>
          <t>Residual SD</t>
        </is>
      </c>
      <c r="B35" s="55" t="inlineStr">
        <is>
          <t>=STEYX(B7:B12,A7:A12)</t>
        </is>
      </c>
      <c r="C35" s="11" t="inlineStr">
        <is>
          <t>Estimating LOD and LOQ</t>
        </is>
      </c>
      <c r="D35" s="11" t="inlineStr">
        <is>
          <t>Sensitive to a single bad standard</t>
        </is>
      </c>
    </row>
    <row r="36">
      <c r="A36" s="36" t="inlineStr">
        <is>
          <t>Two-sample t-test</t>
        </is>
      </c>
      <c r="B36" s="55" t="inlineStr">
        <is>
          <t>=T.TEST(B7:B16,C7:C16,2,2)</t>
        </is>
      </c>
      <c r="C36" s="11" t="inlineStr">
        <is>
          <t>Comparing two independent groups</t>
        </is>
      </c>
      <c r="D36" s="11" t="inlineStr">
        <is>
          <t>Check variances with F.TEST first</t>
        </is>
      </c>
    </row>
    <row r="37">
      <c r="A37" s="36" t="inlineStr">
        <is>
          <t>F-test</t>
        </is>
      </c>
      <c r="B37" s="55" t="inlineStr">
        <is>
          <t>=F.TEST(B7:B16,C7:C16)</t>
        </is>
      </c>
      <c r="C37" s="11" t="inlineStr">
        <is>
          <t>Deciding between t-test type 2 and 3</t>
        </is>
      </c>
      <c r="D37" s="11" t="inlineStr">
        <is>
          <t>A small p-value means the variances differ</t>
        </is>
      </c>
    </row>
    <row r="39">
      <c r="A39" s="5" t="inlineStr">
        <is>
          <t>Error values and what they usually mean</t>
        </is>
      </c>
    </row>
    <row r="40" ht="30" customHeight="1">
      <c r="A40" s="6" t="inlineStr">
        <is>
          <t>Error</t>
        </is>
      </c>
      <c r="B40" s="6" t="inlineStr">
        <is>
          <t>Usual cause</t>
        </is>
      </c>
      <c r="C40" s="6" t="inlineStr">
        <is>
          <t>First thing to try</t>
        </is>
      </c>
      <c r="D40" s="6" t="inlineStr"/>
    </row>
    <row r="41">
      <c r="A41" s="56" t="inlineStr">
        <is>
          <t>#DIV/0!</t>
        </is>
      </c>
      <c r="B41" s="11" t="inlineStr">
        <is>
          <t>Dividing by an empty or zero cell</t>
        </is>
      </c>
      <c r="C41" s="11" t="inlineStr">
        <is>
          <t>Check the denominator exists before wrapping in IFERROR</t>
        </is>
      </c>
    </row>
    <row r="42">
      <c r="A42" s="56" t="inlineStr">
        <is>
          <t>#VALUE!</t>
        </is>
      </c>
      <c r="B42" s="11" t="inlineStr">
        <is>
          <t>Text where a number is expected</t>
        </is>
      </c>
      <c r="C42" s="11" t="inlineStr">
        <is>
          <t>Look for units typed into the cell, or a stray space</t>
        </is>
      </c>
    </row>
    <row r="43">
      <c r="A43" s="56" t="inlineStr">
        <is>
          <t>#REF!</t>
        </is>
      </c>
      <c r="B43" s="11" t="inlineStr">
        <is>
          <t>A referenced cell was deleted</t>
        </is>
      </c>
      <c r="C43" s="11" t="inlineStr">
        <is>
          <t>Undo, then delete contents rather than the cells</t>
        </is>
      </c>
    </row>
    <row r="44">
      <c r="A44" s="56" t="inlineStr">
        <is>
          <t>#N/A</t>
        </is>
      </c>
      <c r="B44" s="11" t="inlineStr">
        <is>
          <t>A lookup found nothing</t>
        </is>
      </c>
      <c r="C44" s="11" t="inlineStr">
        <is>
          <t>Check for trailing spaces; add if_not_found to XLOOKUP</t>
        </is>
      </c>
    </row>
    <row r="45">
      <c r="A45" s="56" t="inlineStr">
        <is>
          <t>#NAME?</t>
        </is>
      </c>
      <c r="B45" s="11" t="inlineStr">
        <is>
          <t>A misspelt function, or one your version lacks</t>
        </is>
      </c>
      <c r="C45" s="11" t="inlineStr">
        <is>
          <t>Check the spelling, then check XLOOKUP is available</t>
        </is>
      </c>
    </row>
    <row r="46">
      <c r="A46" s="56" t="inlineStr">
        <is>
          <t>#NUM!</t>
        </is>
      </c>
      <c r="B46" s="11" t="inlineStr">
        <is>
          <t>A calculation cannot produce a valid number</t>
        </is>
      </c>
      <c r="C46" s="11" t="inlineStr">
        <is>
          <t>Check for a negative square root or an impossible argument</t>
        </is>
      </c>
    </row>
    <row r="47">
      <c r="A47" s="56" t="inlineStr">
        <is>
          <t>Number stored as text</t>
        </is>
      </c>
      <c r="B47" s="11" t="inlineStr">
        <is>
          <t>Pasted from a report or PDF</t>
        </is>
      </c>
      <c r="C47" s="11" t="inlineStr">
        <is>
          <t>COUNT the range — if it is short, that is why</t>
        </is>
      </c>
    </row>
  </sheetData>
  <pageMargins left="0.75" right="0.75" top="1" bottom="1" header="0.5" footer="0.5"/>
</worksheet>
</file>

<file path=xl/worksheets/sheet11.xml><?xml version="1.0" encoding="utf-8"?>
<worksheet xmlns="http://schemas.openxmlformats.org/spreadsheetml/2006/main">
  <sheetPr>
    <tabColor rgb="0053565A"/>
    <outlinePr summaryBelow="1" summaryRight="1"/>
    <pageSetUpPr/>
  </sheetPr>
  <dimension ref="A1:G45"/>
  <sheetViews>
    <sheetView showGridLines="0" workbookViewId="0">
      <selection activeCell="A1" sqref="A1"/>
    </sheetView>
  </sheetViews>
  <sheetFormatPr baseColWidth="8" defaultRowHeight="15"/>
  <cols>
    <col width="22" customWidth="1" min="1" max="1"/>
    <col width="34" customWidth="1" min="2" max="2"/>
    <col width="26" customWidth="1" min="3" max="3"/>
    <col width="42" customWidth="1" min="4" max="4"/>
    <col width="3" customWidth="1" min="5" max="5"/>
    <col width="30" customWidth="1" min="6" max="6"/>
    <col width="44" customWidth="1" min="7" max="7"/>
  </cols>
  <sheetData>
    <row r="1">
      <c r="A1" s="1" t="inlineStr">
        <is>
          <t>Check answers</t>
        </is>
      </c>
    </row>
    <row r="2">
      <c r="A2" s="2" t="inlineStr">
        <is>
          <t>Live status for every task. Number formats and charts still need a visual comparison.</t>
        </is>
      </c>
    </row>
    <row r="4">
      <c r="A4" s="5" t="inlineStr">
        <is>
          <t>Task status</t>
        </is>
      </c>
      <c r="F4" s="5" t="inlineStr">
        <is>
          <t>Overall status</t>
        </is>
      </c>
    </row>
    <row r="5">
      <c r="F5" s="57">
        <f>IF(COUNTIF(C7:C20,"Not started")=14,"Not started yet",IF(COUNTIF(C7:C20,"Correct")=14,"All checks complete — well done","In progress — "&amp;COUNTIF(C7:C20,"Correct")&amp;" of 14 complete"))</f>
        <v/>
      </c>
      <c r="G5" s="21" t="n"/>
    </row>
    <row r="6" ht="30" customHeight="1">
      <c r="A6" s="6" t="inlineStr">
        <is>
          <t>Task</t>
        </is>
      </c>
      <c r="B6" s="6" t="inlineStr">
        <is>
          <t>Activity</t>
        </is>
      </c>
      <c r="C6" s="6" t="inlineStr">
        <is>
          <t>Status</t>
        </is>
      </c>
      <c r="D6" s="6" t="inlineStr">
        <is>
          <t>If it says Check formula</t>
        </is>
      </c>
      <c r="F6" s="24" t="n"/>
      <c r="G6" s="26" t="n"/>
    </row>
    <row r="7">
      <c r="A7" s="58" t="inlineStr">
        <is>
          <t>T1</t>
        </is>
      </c>
      <c r="B7" s="11" t="inlineStr">
        <is>
          <t>Numbers repaired and mean found</t>
        </is>
      </c>
      <c r="C7" s="9">
        <f>IF(COUNTA('T1 Format &amp; Navigate'!E17:E18)=0,"Not started",IF(AND(LEFT('T1 Format &amp; Navigate'!F17,7)="Correct",LEFT('T1 Format &amp; Navigate'!F18,7)="Correct"),"Correct","Check formula"))</f>
        <v/>
      </c>
      <c r="D7" s="49" t="inlineStr">
        <is>
          <t>Two weights are stored as text — COUNT will show 18, not 20</t>
        </is>
      </c>
    </row>
    <row r="8">
      <c r="A8" s="58" t="inlineStr">
        <is>
          <t>T1</t>
        </is>
      </c>
      <c r="B8" s="11" t="inlineStr">
        <is>
          <t>Mean is within ±1.0 mg of target</t>
        </is>
      </c>
      <c r="C8" s="9">
        <f>'T1 Format &amp; Navigate'!F19</f>
        <v/>
      </c>
      <c r="D8" s="49" t="inlineStr">
        <is>
          <t>The mean is about 550.2 mg</t>
        </is>
      </c>
    </row>
    <row r="9">
      <c r="A9" s="58" t="inlineStr">
        <is>
          <t>T2</t>
        </is>
      </c>
      <c r="B9" s="11" t="inlineStr">
        <is>
          <t>Deviation and % of target</t>
        </is>
      </c>
      <c r="C9" s="9">
        <f>IF(COUNTIF('T2 Referencing'!E9:E18,"Correct")=10,"Correct",IF(COUNTIF('T2 Referencing'!E9:E18,"Not started")=10,"Not started","Check formula"))</f>
        <v/>
      </c>
      <c r="D9" s="49" t="inlineStr">
        <is>
          <t>The target cell C5 must be locked as $C$5</t>
        </is>
      </c>
    </row>
    <row r="10">
      <c r="A10" s="58" t="inlineStr">
        <is>
          <t>T2</t>
        </is>
      </c>
      <c r="B10" s="11" t="inlineStr">
        <is>
          <t>Mixed-reference dilution grid</t>
        </is>
      </c>
      <c r="C10" s="9">
        <f>'T2 Referencing'!H19</f>
        <v/>
      </c>
      <c r="D10" s="49" t="inlineStr">
        <is>
          <t>Lock column G and row 9: =$G11/H$9</t>
        </is>
      </c>
    </row>
    <row r="11">
      <c r="A11" s="58" t="inlineStr">
        <is>
          <t>T3</t>
        </is>
      </c>
      <c r="B11" s="11" t="inlineStr">
        <is>
          <t>Per-unit Within / Outside labels</t>
        </is>
      </c>
      <c r="C11" s="9">
        <f>IF(AND(COUNTIF('T3 Functions &amp; Logic'!F7:F16,"Correct")=10,COUNTIF('T3 Functions &amp; Logic'!G7:G16,"Correct")=10),"Correct",IF(AND(COUNTIF('T3 Functions &amp; Logic'!F7:F16,"Not started")=10,COUNTIF('T3 Functions &amp; Logic'!G7:G16,"Not started")=10),"Not started","Check formula"))</f>
        <v/>
      </c>
      <c r="D11" s="49" t="inlineStr">
        <is>
          <t>Labels must read exactly Within and Outside</t>
        </is>
      </c>
    </row>
    <row r="12">
      <c r="A12" s="58" t="inlineStr">
        <is>
          <t>T3</t>
        </is>
      </c>
      <c r="B12" s="11" t="inlineStr">
        <is>
          <t>Batch summary and verdicts</t>
        </is>
      </c>
      <c r="C12" s="9">
        <f>IF(AND(COUNTIF('T3 Functions &amp; Logic'!L7:M11,"Correct")=10),"Correct",IF(COUNTIF('T3 Functions &amp; Logic'!L7:M11,"Not started")=10,"Not started","Check formula"))</f>
        <v/>
      </c>
      <c r="D12" s="49" t="inlineStr">
        <is>
          <t>Use STDEV.S. %RSD is SD ÷ mean, formatted as a percentage</t>
        </is>
      </c>
    </row>
    <row r="13">
      <c r="A13" s="58" t="inlineStr">
        <is>
          <t>T4</t>
        </is>
      </c>
      <c r="B13" s="11" t="inlineStr">
        <is>
          <t>XLOOKUP into the formulation</t>
        </is>
      </c>
      <c r="C13" s="9">
        <f>'T4 XLOOKUP'!F20</f>
        <v/>
      </c>
      <c r="D13" s="49" t="inlineStr">
        <is>
          <t>RM-9999 should return Not approved, not #N/A</t>
        </is>
      </c>
    </row>
    <row r="14">
      <c r="A14" s="58" t="inlineStr">
        <is>
          <t>T4</t>
        </is>
      </c>
      <c r="B14" s="11" t="inlineStr">
        <is>
          <t>Carr's index and flow band</t>
        </is>
      </c>
      <c r="C14" s="9">
        <f>IF(COUNTIF('T4 XLOOKUP'!L18:L23,"Correct")=6,"Correct",IF(COUNTIF('T4 XLOOKUP'!L18:L23,"Not started")=6,"Not started","Check formula"))</f>
        <v/>
      </c>
      <c r="D14" s="49" t="inlineStr">
        <is>
          <t>Banded lookups need match_mode −1</t>
        </is>
      </c>
    </row>
    <row r="15">
      <c r="A15" s="58" t="inlineStr">
        <is>
          <t>T5</t>
        </is>
      </c>
      <c r="B15" s="11" t="inlineStr">
        <is>
          <t>Descriptive statistics, both batches</t>
        </is>
      </c>
      <c r="C15" s="9">
        <f>IF(AND(COUNTIF('T5 Descriptive Stats'!H7:I17,"Correct")=22),"Correct",IF(COUNTIF('T5 Descriptive Stats'!H7:I17,"Not started")=22,"Not started","Check formula"))</f>
        <v/>
      </c>
      <c r="D15" s="49" t="inlineStr">
        <is>
          <t>STDEV.S not STDEV.P; CONFIDENCE.T not CONFIDENCE.NORM</t>
        </is>
      </c>
    </row>
    <row r="16">
      <c r="A16" s="58" t="inlineStr">
        <is>
          <t>T6</t>
        </is>
      </c>
      <c r="B16" s="11" t="inlineStr">
        <is>
          <t>Slope, intercept, R² and STEYX</t>
        </is>
      </c>
      <c r="C16" s="9">
        <f>IF(COUNTIF('T6 Calibration'!G7:G10,"Correct")=4,"Correct",IF(COUNTIF('T6 Calibration'!G7:G10,"Not started")=4,"Not started","Check formula"))</f>
        <v/>
      </c>
      <c r="D16" s="49" t="inlineStr">
        <is>
          <t>SLOPE takes the y range first, then the x range</t>
        </is>
      </c>
    </row>
    <row r="17">
      <c r="A17" s="58" t="inlineStr">
        <is>
          <t>T6</t>
        </is>
      </c>
      <c r="B17" s="11" t="inlineStr">
        <is>
          <t>Back-calculation to % label claim</t>
        </is>
      </c>
      <c r="C17" s="9">
        <f>IF(COUNTIF('T6 Calibration'!G17:G20,"Correct")=4,"Correct",IF(COUNTIF('T6 Calibration'!G17:G20,"Not started")=4,"Not started","Check formula"))</f>
        <v/>
      </c>
      <c r="D17" s="49" t="inlineStr">
        <is>
          <t>Work in stages: injected, stock, mg per tablet, % of claim</t>
        </is>
      </c>
    </row>
    <row r="18">
      <c r="A18" s="58" t="inlineStr">
        <is>
          <t>T6</t>
        </is>
      </c>
      <c r="B18" s="11" t="inlineStr">
        <is>
          <t>LOD and LOQ</t>
        </is>
      </c>
      <c r="C18" s="9">
        <f>IF(AND(LEFT('T6 Calibration'!G24,7)="Correct",LEFT('T6 Calibration'!G25,7)="Correct"),"Correct",IF(AND('T6 Calibration'!G24="Not started",'T6 Calibration'!G25="Not started"),"Not started","Check formula"))</f>
        <v/>
      </c>
      <c r="D18" s="49" t="inlineStr">
        <is>
          <t>Both use STEYX ÷ slope, scaled by 3.3 and 10</t>
        </is>
      </c>
    </row>
    <row r="19">
      <c r="A19" s="58" t="inlineStr">
        <is>
          <t>T7</t>
        </is>
      </c>
      <c r="B19" s="11" t="inlineStr">
        <is>
          <t>Chart type choices</t>
        </is>
      </c>
      <c r="C19" s="9">
        <f>IF(COUNTIF('T7 Charts'!I32:I35,"Correct")=4,"Correct",IF(COUNTIF('T7 Charts'!I32:I35,"Not started")=4,"Not started","Check answer"))</f>
        <v/>
      </c>
      <c r="D19" s="49" t="inlineStr">
        <is>
          <t>Answer with one word: Scatter, Line or Column</t>
        </is>
      </c>
    </row>
    <row r="20">
      <c r="A20" s="58" t="inlineStr">
        <is>
          <t>T8</t>
        </is>
      </c>
      <c r="B20" s="11" t="inlineStr">
        <is>
          <t>F-test and t-test (stretch)</t>
        </is>
      </c>
      <c r="C20" s="9">
        <f>IF(COUNTIF('T8 Compare Batches'!G7:G16,"Correct")=9,"Correct",IF(COUNTIF('T8 Compare Batches'!G7:G16,"Not started")=9,"Not started","Check formula"))</f>
        <v/>
      </c>
      <c r="D20" s="49" t="inlineStr">
        <is>
          <t>T.TEST arguments are (array1, array2, 2, 2)</t>
        </is>
      </c>
    </row>
    <row r="22">
      <c r="A22" s="5" t="inlineStr">
        <is>
          <t>Manual checks — no formula can do these for you</t>
        </is>
      </c>
    </row>
    <row r="23">
      <c r="B23" s="8" t="inlineStr">
        <is>
          <t>· T1: the top row is frozen and nothing is cut off.</t>
        </is>
      </c>
    </row>
    <row r="24">
      <c r="B24" s="8" t="inlineStr">
        <is>
          <t>· T1/T5: values of the same kind share one number format and a sensible number of decimal places.</t>
        </is>
      </c>
    </row>
    <row r="25">
      <c r="B25" s="8" t="inlineStr">
        <is>
          <t>· T7: both charts have a title, two titled axes and units.</t>
        </is>
      </c>
    </row>
    <row r="26">
      <c r="B26" s="8" t="inlineStr">
        <is>
          <t>· T7: the dissolution chart carries error bars and states in its caption that they are ± 1 SD.</t>
        </is>
      </c>
    </row>
    <row r="27">
      <c r="B27" s="8" t="inlineStr">
        <is>
          <t>· T7: neither chart uses 3-D, a drop shadow or colour as its only cue.</t>
        </is>
      </c>
    </row>
    <row r="30">
      <c r="A30" s="5" t="inlineStr">
        <is>
          <t>Expected results</t>
        </is>
      </c>
    </row>
    <row r="31" ht="30" customHeight="1">
      <c r="A31" s="6" t="inlineStr">
        <is>
          <t>Task</t>
        </is>
      </c>
      <c r="B31" s="6" t="inlineStr">
        <is>
          <t>Quantity</t>
        </is>
      </c>
      <c r="C31" s="6" t="inlineStr">
        <is>
          <t>Expected</t>
        </is>
      </c>
      <c r="D31" s="6" t="inlineStr">
        <is>
          <t>Note</t>
        </is>
      </c>
    </row>
    <row r="32">
      <c r="A32" s="58" t="inlineStr">
        <is>
          <t>T1</t>
        </is>
      </c>
      <c r="B32" s="11" t="inlineStr">
        <is>
          <t>Numeric values after repair</t>
        </is>
      </c>
      <c r="C32" s="11" t="inlineStr">
        <is>
          <t>20</t>
        </is>
      </c>
      <c r="D32" s="11" t="inlineStr">
        <is>
          <t>COUNT(B7:B26)</t>
        </is>
      </c>
    </row>
    <row r="33">
      <c r="A33" s="58" t="inlineStr">
        <is>
          <t>T1</t>
        </is>
      </c>
      <c r="B33" s="11" t="inlineStr">
        <is>
          <t>Mean core weight</t>
        </is>
      </c>
      <c r="C33" s="11" t="inlineStr">
        <is>
          <t>550.15 mg</t>
        </is>
      </c>
      <c r="D33" s="11" t="inlineStr">
        <is>
          <t>Target 550.0 mg</t>
        </is>
      </c>
    </row>
    <row r="34">
      <c r="A34" s="58" t="inlineStr">
        <is>
          <t>T2</t>
        </is>
      </c>
      <c r="B34" s="11" t="inlineStr">
        <is>
          <t>Deviation, tablet 1</t>
        </is>
      </c>
      <c r="C34" s="11" t="inlineStr">
        <is>
          <t>−1.80 mg</t>
        </is>
      </c>
      <c r="D34" s="11" t="inlineStr">
        <is>
          <t>548.2 − 550.0</t>
        </is>
      </c>
    </row>
    <row r="35">
      <c r="A35" s="58" t="inlineStr">
        <is>
          <t>T2</t>
        </is>
      </c>
      <c r="B35" s="11" t="inlineStr">
        <is>
          <t>Dilution grid corners</t>
        </is>
      </c>
      <c r="C35" s="11" t="inlineStr">
        <is>
          <t>50.0 · 5.0 · 500.0 · 50.0</t>
        </is>
      </c>
      <c r="D35" s="11" t="inlineStr">
        <is>
          <t>H11, K11, H14, K14</t>
        </is>
      </c>
    </row>
    <row r="36">
      <c r="A36" s="58" t="inlineStr">
        <is>
          <t>T3</t>
        </is>
      </c>
      <c r="B36" s="11" t="inlineStr">
        <is>
          <t>PT-2601 mean / %RSD</t>
        </is>
      </c>
      <c r="C36" s="11" t="inlineStr">
        <is>
          <t>99.90% / about 3.0%</t>
        </is>
      </c>
      <c r="D36" s="11" t="inlineStr">
        <is>
          <t>Verdict: Pass</t>
        </is>
      </c>
    </row>
    <row r="37">
      <c r="A37" s="58" t="inlineStr">
        <is>
          <t>T3</t>
        </is>
      </c>
      <c r="B37" s="11" t="inlineStr">
        <is>
          <t>PT-2602 mean / %RSD</t>
        </is>
      </c>
      <c r="C37" s="11" t="inlineStr">
        <is>
          <t>95.70% / about 8.6%</t>
        </is>
      </c>
      <c r="D37" s="11" t="inlineStr">
        <is>
          <t>One unit below 85% — verdict: Fail</t>
        </is>
      </c>
    </row>
    <row r="38">
      <c r="A38" s="58" t="inlineStr">
        <is>
          <t>T4</t>
        </is>
      </c>
      <c r="B38" s="11" t="inlineStr">
        <is>
          <t>RM-9999</t>
        </is>
      </c>
      <c r="C38" s="11" t="inlineStr">
        <is>
          <t>Not approved</t>
        </is>
      </c>
      <c r="D38" s="11" t="inlineStr">
        <is>
          <t>Via the if_not_found argument</t>
        </is>
      </c>
    </row>
    <row r="39">
      <c r="A39" s="58" t="inlineStr">
        <is>
          <t>T4</t>
        </is>
      </c>
      <c r="B39" s="11" t="inlineStr">
        <is>
          <t>BL-05 Carr's index</t>
        </is>
      </c>
      <c r="C39" s="11" t="inlineStr">
        <is>
          <t>15.9% → Good</t>
        </is>
      </c>
      <c r="D39" s="11" t="inlineStr">
        <is>
          <t>Just inside the band — do not round first</t>
        </is>
      </c>
    </row>
    <row r="40">
      <c r="A40" s="58" t="inlineStr">
        <is>
          <t>T5</t>
        </is>
      </c>
      <c r="B40" s="11" t="inlineStr">
        <is>
          <t>PT-2601 mean ± 95% CI</t>
        </is>
      </c>
      <c r="C40" s="11" t="inlineStr">
        <is>
          <t>about 93.3 ± 1.2 %</t>
        </is>
      </c>
      <c r="D40" s="11" t="inlineStr">
        <is>
          <t>n = 12, CONFIDENCE.T</t>
        </is>
      </c>
    </row>
    <row r="41">
      <c r="A41" s="58" t="inlineStr">
        <is>
          <t>T5</t>
        </is>
      </c>
      <c r="B41" s="11" t="inlineStr">
        <is>
          <t>Vessels below 85%</t>
        </is>
      </c>
      <c r="C41" s="11" t="inlineStr">
        <is>
          <t>PT-2601: 0 · PT-2602: 2</t>
        </is>
      </c>
      <c r="D41" s="11" t="inlineStr">
        <is>
          <t>COUNTIF</t>
        </is>
      </c>
    </row>
    <row r="42">
      <c r="A42" s="58" t="inlineStr">
        <is>
          <t>T6</t>
        </is>
      </c>
      <c r="B42" s="11" t="inlineStr">
        <is>
          <t>Slope / intercept / R²</t>
        </is>
      </c>
      <c r="C42" s="11" t="inlineStr">
        <is>
          <t>see the Worked workbook</t>
        </is>
      </c>
      <c r="D42" s="11" t="inlineStr">
        <is>
          <t>R² is above 0.9999</t>
        </is>
      </c>
    </row>
    <row r="43">
      <c r="A43" s="58" t="inlineStr">
        <is>
          <t>T6</t>
        </is>
      </c>
      <c r="B43" s="11" t="inlineStr">
        <is>
          <t>Assay</t>
        </is>
      </c>
      <c r="C43" s="11" t="inlineStr">
        <is>
          <t>about 99% of label claim</t>
        </is>
      </c>
      <c r="D43" s="11" t="inlineStr">
        <is>
          <t>Within a 95–105% specification</t>
        </is>
      </c>
    </row>
    <row r="44">
      <c r="A44" s="58" t="inlineStr">
        <is>
          <t>T7</t>
        </is>
      </c>
      <c r="B44" s="11" t="inlineStr">
        <is>
          <t>Chart choices</t>
        </is>
      </c>
      <c r="C44" s="11" t="inlineStr">
        <is>
          <t>Scatter · Scatter · Column · Column</t>
        </is>
      </c>
      <c r="D44" s="11" t="inlineStr"/>
    </row>
    <row r="45">
      <c r="A45" s="58" t="inlineStr">
        <is>
          <t>T8</t>
        </is>
      </c>
      <c r="B45" s="11" t="inlineStr">
        <is>
          <t>t-test p-value</t>
        </is>
      </c>
      <c r="C45" s="11" t="inlineStr">
        <is>
          <t>well below 0.001</t>
        </is>
      </c>
      <c r="D45" s="11" t="inlineStr">
        <is>
          <t>Significant, but both batches are in specification</t>
        </is>
      </c>
    </row>
  </sheetData>
  <mergeCells count="1">
    <mergeCell ref="F5:G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2026-09-22T17:04:19Z</dcterms:created>
  <dcterms:modified xmlns:dcterms="http://purl.org/dc/terms/" xmlns:xsi="http://www.w3.org/2001/XMLSchema-instance" xsi:type="dcterms:W3CDTF">2026-09-22T17:04:19Z</dcterms:modified>
</cp:coreProperties>
</file>